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200\Desktop\"/>
    </mc:Choice>
  </mc:AlternateContent>
  <xr:revisionPtr revIDLastSave="0" documentId="13_ncr:1_{1781F8F7-A4CF-49A9-9F1F-D0772C84AA69}" xr6:coauthVersionLast="47" xr6:coauthVersionMax="47" xr10:uidLastSave="{00000000-0000-0000-0000-000000000000}"/>
  <bookViews>
    <workbookView xWindow="-120" yWindow="-120" windowWidth="29040" windowHeight="15840" xr2:uid="{3E3F3E80-9958-4921-934A-DC6B89293508}"/>
  </bookViews>
  <sheets>
    <sheet name="Main Page" sheetId="1" r:id="rId1"/>
    <sheet name="UC" sheetId="2" state="hidden" r:id="rId2"/>
    <sheet name="Other tables" sheetId="3" state="hidden" r:id="rId3"/>
    <sheet name="Frd tabl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L17" i="1"/>
  <c r="W44" i="1"/>
  <c r="J25" i="1"/>
  <c r="V24" i="1" s="1"/>
  <c r="L13" i="1" l="1"/>
  <c r="E15" i="1" s="1"/>
  <c r="E30" i="4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D30" i="4"/>
  <c r="E25" i="4"/>
  <c r="F25" i="4"/>
  <c r="G25" i="4"/>
  <c r="H25" i="4"/>
  <c r="I25" i="4" s="1"/>
  <c r="J25" i="4" s="1"/>
  <c r="K25" i="4" s="1"/>
  <c r="L25" i="4" s="1"/>
  <c r="M25" i="4" s="1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AB25" i="4" s="1"/>
  <c r="AC25" i="4" s="1"/>
  <c r="AD25" i="4" s="1"/>
  <c r="AE25" i="4" s="1"/>
  <c r="AF25" i="4" s="1"/>
  <c r="AG25" i="4" s="1"/>
  <c r="AH25" i="4" s="1"/>
  <c r="AI25" i="4" s="1"/>
  <c r="AJ25" i="4" s="1"/>
  <c r="AK25" i="4" s="1"/>
  <c r="D25" i="4"/>
  <c r="E16" i="1" l="1"/>
  <c r="H11" i="4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AJ11" i="4" s="1"/>
  <c r="AK11" i="4" s="1"/>
  <c r="H2" i="4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AJ2" i="4" s="1"/>
  <c r="AK2" i="4" s="1"/>
  <c r="X20" i="1"/>
  <c r="X19" i="1"/>
  <c r="X18" i="1"/>
  <c r="X17" i="1"/>
  <c r="X16" i="1"/>
  <c r="X15" i="1"/>
  <c r="X14" i="1"/>
  <c r="X13" i="1"/>
  <c r="X12" i="1"/>
  <c r="X11" i="1"/>
  <c r="X10" i="1"/>
  <c r="K44" i="1" s="1"/>
  <c r="E20" i="4" s="1"/>
  <c r="F20" i="4" s="1"/>
  <c r="H20" i="4" s="1"/>
  <c r="X9" i="1"/>
  <c r="X8" i="1"/>
  <c r="S20" i="1"/>
  <c r="S19" i="1"/>
  <c r="S18" i="1"/>
  <c r="S17" i="1"/>
  <c r="S16" i="1"/>
  <c r="S15" i="1"/>
  <c r="S14" i="1"/>
  <c r="S13" i="1"/>
  <c r="S12" i="1"/>
  <c r="S11" i="1"/>
  <c r="J14" i="3" s="1"/>
  <c r="S10" i="1"/>
  <c r="K39" i="1" s="1"/>
  <c r="K40" i="1" s="1"/>
  <c r="S9" i="1"/>
  <c r="W45" i="1" l="1"/>
  <c r="K49" i="1"/>
  <c r="E34" i="4" s="1"/>
  <c r="F34" i="4" s="1"/>
  <c r="K34" i="4" s="1"/>
  <c r="V26" i="1"/>
  <c r="K30" i="1"/>
  <c r="D21" i="3"/>
  <c r="K28" i="1"/>
  <c r="K20" i="4"/>
  <c r="L20" i="4"/>
  <c r="K14" i="3"/>
  <c r="K16" i="3" s="1"/>
  <c r="K17" i="3" s="1"/>
  <c r="X5" i="1"/>
  <c r="J16" i="3"/>
  <c r="J17" i="3" s="1"/>
  <c r="J15" i="3"/>
  <c r="L34" i="4" l="1"/>
  <c r="K29" i="1"/>
  <c r="V25" i="1" s="1"/>
  <c r="K15" i="3"/>
  <c r="E9" i="1" s="1"/>
  <c r="W46" i="1" s="1"/>
  <c r="V27" i="1" s="1"/>
  <c r="A26" i="4" l="1"/>
  <c r="C26" i="4" s="1"/>
  <c r="K41" i="1"/>
  <c r="T26" i="1" s="1"/>
  <c r="K31" i="1"/>
  <c r="K32" i="1" s="1"/>
  <c r="AJ26" i="4" l="1"/>
  <c r="AC26" i="4"/>
  <c r="H26" i="4"/>
  <c r="Q26" i="4"/>
  <c r="W26" i="4"/>
  <c r="J26" i="4"/>
  <c r="G26" i="4"/>
  <c r="K21" i="4" s="1"/>
  <c r="AI26" i="4"/>
  <c r="M26" i="4"/>
  <c r="N26" i="4"/>
  <c r="S26" i="4"/>
  <c r="AB26" i="4"/>
  <c r="U26" i="4"/>
  <c r="AF26" i="4"/>
  <c r="D26" i="4"/>
  <c r="K26" i="4"/>
  <c r="O26" i="4"/>
  <c r="P26" i="4"/>
  <c r="R26" i="4"/>
  <c r="X26" i="4"/>
  <c r="Z26" i="4"/>
  <c r="AD26" i="4"/>
  <c r="L26" i="4"/>
  <c r="Y26" i="4"/>
  <c r="V26" i="4"/>
  <c r="B26" i="4"/>
  <c r="AG26" i="4"/>
  <c r="T26" i="4"/>
  <c r="E26" i="4"/>
  <c r="F26" i="4"/>
  <c r="AH26" i="4"/>
  <c r="I26" i="4"/>
  <c r="AE26" i="4"/>
  <c r="A31" i="4"/>
  <c r="Z31" i="4" s="1"/>
  <c r="AK26" i="4"/>
  <c r="AA26" i="4"/>
  <c r="U26" i="1"/>
  <c r="X26" i="1"/>
  <c r="L21" i="4" l="1"/>
  <c r="O20" i="4" s="1"/>
  <c r="K45" i="1" s="1"/>
  <c r="K46" i="1" s="1"/>
  <c r="B31" i="4"/>
  <c r="M31" i="4"/>
  <c r="H22" i="4"/>
  <c r="AC31" i="4"/>
  <c r="Y31" i="4"/>
  <c r="I31" i="4"/>
  <c r="T31" i="4"/>
  <c r="AE31" i="4"/>
  <c r="AB31" i="4"/>
  <c r="E31" i="4"/>
  <c r="N31" i="4"/>
  <c r="AK31" i="4"/>
  <c r="G31" i="4"/>
  <c r="R31" i="4"/>
  <c r="AG31" i="4"/>
  <c r="C31" i="4"/>
  <c r="P31" i="4"/>
  <c r="L31" i="4"/>
  <c r="AD31" i="4"/>
  <c r="X31" i="4"/>
  <c r="AJ31" i="4"/>
  <c r="V31" i="4"/>
  <c r="AA31" i="4"/>
  <c r="AH31" i="4"/>
  <c r="J31" i="4"/>
  <c r="AF31" i="4"/>
  <c r="S31" i="4"/>
  <c r="Q31" i="4"/>
  <c r="D31" i="4"/>
  <c r="K31" i="4"/>
  <c r="W31" i="4"/>
  <c r="O31" i="4"/>
  <c r="AI31" i="4"/>
  <c r="F31" i="4"/>
  <c r="U31" i="4"/>
  <c r="H31" i="4"/>
  <c r="F22" i="3"/>
  <c r="F21" i="3"/>
  <c r="L35" i="4" l="1"/>
  <c r="K35" i="4"/>
  <c r="I22" i="4"/>
  <c r="F23" i="3"/>
  <c r="H21" i="3"/>
  <c r="K33" i="1" s="1"/>
  <c r="K34" i="1" s="1"/>
  <c r="O34" i="4" l="1"/>
  <c r="K50" i="1" s="1"/>
  <c r="K51" i="1" s="1"/>
  <c r="T24" i="1" s="1"/>
  <c r="X24" i="1" s="1"/>
  <c r="M34" i="1"/>
  <c r="K35" i="1"/>
  <c r="K36" i="1" s="1"/>
  <c r="T25" i="1" s="1"/>
  <c r="U24" i="1" l="1"/>
  <c r="X25" i="1"/>
  <c r="U25" i="1"/>
</calcChain>
</file>

<file path=xl/sharedStrings.xml><?xml version="1.0" encoding="utf-8"?>
<sst xmlns="http://schemas.openxmlformats.org/spreadsheetml/2006/main" count="317" uniqueCount="184">
  <si>
    <t>Serial Size</t>
  </si>
  <si>
    <t>h</t>
  </si>
  <si>
    <t>b</t>
  </si>
  <si>
    <t>tw</t>
  </si>
  <si>
    <t>tf</t>
  </si>
  <si>
    <t>r</t>
  </si>
  <si>
    <t>d</t>
  </si>
  <si>
    <t>cw / tw</t>
  </si>
  <si>
    <t>cf / tf</t>
  </si>
  <si>
    <t>C</t>
  </si>
  <si>
    <t>N</t>
  </si>
  <si>
    <t>n</t>
  </si>
  <si>
    <t>SA</t>
  </si>
  <si>
    <t>Iy</t>
  </si>
  <si>
    <t>Iz</t>
  </si>
  <si>
    <t>iy</t>
  </si>
  <si>
    <t>iz</t>
  </si>
  <si>
    <t>Wel,y</t>
  </si>
  <si>
    <t>Wel,z</t>
  </si>
  <si>
    <t>Wpl,y</t>
  </si>
  <si>
    <t>Wpl,z</t>
  </si>
  <si>
    <t>U</t>
  </si>
  <si>
    <t>X</t>
  </si>
  <si>
    <t>Iw</t>
  </si>
  <si>
    <t>IT</t>
  </si>
  <si>
    <t>A</t>
  </si>
  <si>
    <t>mm</t>
  </si>
  <si>
    <t/>
  </si>
  <si>
    <t>m2</t>
  </si>
  <si>
    <t>cm4</t>
  </si>
  <si>
    <t>cm</t>
  </si>
  <si>
    <t>cm3</t>
  </si>
  <si>
    <t>dm6</t>
  </si>
  <si>
    <t>cm2</t>
  </si>
  <si>
    <t>356 x 406 x 1299</t>
  </si>
  <si>
    <t>356 x 406 x 1202</t>
  </si>
  <si>
    <t>356 x 406 x 1086</t>
  </si>
  <si>
    <t>356 x 406 x 990</t>
  </si>
  <si>
    <t>356 x 406 x 900</t>
  </si>
  <si>
    <t>356 x 406 x 818</t>
  </si>
  <si>
    <t>356 x 406 x 744</t>
  </si>
  <si>
    <t>356 x 406 x 677</t>
  </si>
  <si>
    <t>356 x 406 x 634</t>
  </si>
  <si>
    <t>356 x 406 x 592</t>
  </si>
  <si>
    <t>356 x 406 x 551</t>
  </si>
  <si>
    <t>356 x 406 x 509</t>
  </si>
  <si>
    <t>356 x 406 x 467</t>
  </si>
  <si>
    <t>356 x 406 x 393</t>
  </si>
  <si>
    <t>356 x 406 x 340</t>
  </si>
  <si>
    <t>356 x 406 x 287</t>
  </si>
  <si>
    <t>356 x 406 x 235</t>
  </si>
  <si>
    <t>356 x 368 x 202</t>
  </si>
  <si>
    <t>356 x 368 x 177</t>
  </si>
  <si>
    <t>356 x 368 x 153</t>
  </si>
  <si>
    <t>356 x 368 x 129</t>
  </si>
  <si>
    <t>305 x 305 x 283</t>
  </si>
  <si>
    <t>305 x 305 x 240</t>
  </si>
  <si>
    <t>305 x 305 x 198</t>
  </si>
  <si>
    <t>305 x 305 x 158</t>
  </si>
  <si>
    <t>305 x 305 x 137</t>
  </si>
  <si>
    <t>305 x 305 x 118</t>
  </si>
  <si>
    <t>305 x 305 x 97</t>
  </si>
  <si>
    <t>254 x 254 x 167</t>
  </si>
  <si>
    <t>254 x 254 x 132</t>
  </si>
  <si>
    <t>254 x 254 x 107</t>
  </si>
  <si>
    <t>254 x 254 x 89</t>
  </si>
  <si>
    <t>254 x 254 x 73</t>
  </si>
  <si>
    <t>203 x 203 x 127</t>
  </si>
  <si>
    <t>203 x 203 x 113</t>
  </si>
  <si>
    <t>203 x 203 x 100</t>
  </si>
  <si>
    <t>203 x 203 x 86</t>
  </si>
  <si>
    <t>203 x 203 x 71</t>
  </si>
  <si>
    <t>203 x 203 x 60</t>
  </si>
  <si>
    <t>203 x 203 x 52</t>
  </si>
  <si>
    <t>203 x 203 x 46</t>
  </si>
  <si>
    <t>152 x 152 x 51</t>
  </si>
  <si>
    <t>152 x 152 x 44</t>
  </si>
  <si>
    <t>152 x 152 x 37</t>
  </si>
  <si>
    <t>152 x 152 x 30</t>
  </si>
  <si>
    <t>152 x 152 x 23</t>
  </si>
  <si>
    <t>End Restraints</t>
  </si>
  <si>
    <t>Pinned/Pinned</t>
  </si>
  <si>
    <t>Fixed/Pinned</t>
  </si>
  <si>
    <t>Fixed/Fixed</t>
  </si>
  <si>
    <t>Effective length factor</t>
  </si>
  <si>
    <t>Steel Column</t>
  </si>
  <si>
    <t>Section:</t>
  </si>
  <si>
    <t>Steel Column to Eurocode 3</t>
  </si>
  <si>
    <t>Prepared by</t>
  </si>
  <si>
    <t>Job No</t>
  </si>
  <si>
    <t>Revision</t>
  </si>
  <si>
    <t>Page</t>
  </si>
  <si>
    <t>Date</t>
  </si>
  <si>
    <t>JF</t>
  </si>
  <si>
    <t>F430000</t>
  </si>
  <si>
    <t>Steel Grade:</t>
  </si>
  <si>
    <r>
      <t>f</t>
    </r>
    <r>
      <rPr>
        <vertAlign val="subscript"/>
        <sz val="11"/>
        <color indexed="8"/>
        <rFont val="Calibri"/>
        <family val="2"/>
      </rPr>
      <t>y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[MPa] </t>
    </r>
    <r>
      <rPr>
        <sz val="11"/>
        <color indexed="8"/>
        <rFont val="Calibri"/>
        <family val="2"/>
      </rPr>
      <t>=</t>
    </r>
  </si>
  <si>
    <r>
      <t xml:space="preserve">E </t>
    </r>
    <r>
      <rPr>
        <i/>
        <sz val="11"/>
        <rFont val="Calibri"/>
        <family val="2"/>
      </rPr>
      <t>[GPa]</t>
    </r>
    <r>
      <rPr>
        <sz val="11"/>
        <rFont val="Calibri"/>
        <family val="2"/>
      </rPr>
      <t xml:space="preserve"> =</t>
    </r>
  </si>
  <si>
    <r>
      <t xml:space="preserve">G </t>
    </r>
    <r>
      <rPr>
        <i/>
        <sz val="11"/>
        <color theme="1"/>
        <rFont val="Calibri"/>
        <family val="2"/>
        <scheme val="minor"/>
      </rPr>
      <t>[Gpa]</t>
    </r>
    <r>
      <rPr>
        <sz val="11"/>
        <color theme="1"/>
        <rFont val="Calibri"/>
        <family val="2"/>
        <scheme val="minor"/>
      </rPr>
      <t xml:space="preserve"> = </t>
    </r>
  </si>
  <si>
    <t>SELECTED SECTION</t>
  </si>
  <si>
    <t>SAFETY FACTORS</t>
  </si>
  <si>
    <t>GENERAL DATA</t>
  </si>
  <si>
    <t>SECTION PROPERTIES</t>
  </si>
  <si>
    <t>LOADING</t>
  </si>
  <si>
    <t>=</t>
  </si>
  <si>
    <r>
      <t>t</t>
    </r>
    <r>
      <rPr>
        <vertAlign val="subscript"/>
        <sz val="11"/>
        <color theme="1"/>
        <rFont val="Calibri"/>
        <family val="2"/>
        <scheme val="minor"/>
      </rPr>
      <t>w</t>
    </r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</si>
  <si>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</si>
  <si>
    <r>
      <t>c</t>
    </r>
    <r>
      <rPr>
        <vertAlign val="subscript"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/t</t>
    </r>
    <r>
      <rPr>
        <vertAlign val="subscript"/>
        <sz val="11"/>
        <color theme="1"/>
        <rFont val="Calibri"/>
        <family val="2"/>
        <scheme val="minor"/>
      </rPr>
      <t>w</t>
    </r>
  </si>
  <si>
    <r>
      <t>c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/t</t>
    </r>
    <r>
      <rPr>
        <vertAlign val="subscript"/>
        <sz val="11"/>
        <color theme="1"/>
        <rFont val="Calibri"/>
        <family val="2"/>
        <scheme val="minor"/>
      </rPr>
      <t>f</t>
    </r>
  </si>
  <si>
    <r>
      <t>I</t>
    </r>
    <r>
      <rPr>
        <vertAlign val="subscript"/>
        <sz val="11"/>
        <color theme="1"/>
        <rFont val="Calibri"/>
        <family val="2"/>
        <scheme val="minor"/>
      </rPr>
      <t>y</t>
    </r>
  </si>
  <si>
    <r>
      <t>I</t>
    </r>
    <r>
      <rPr>
        <vertAlign val="subscript"/>
        <sz val="11"/>
        <color theme="1"/>
        <rFont val="Calibri"/>
        <family val="2"/>
        <scheme val="minor"/>
      </rPr>
      <t>z</t>
    </r>
  </si>
  <si>
    <r>
      <t>i</t>
    </r>
    <r>
      <rPr>
        <vertAlign val="subscript"/>
        <sz val="11"/>
        <color theme="1"/>
        <rFont val="Calibri"/>
        <family val="2"/>
        <scheme val="minor"/>
      </rPr>
      <t>y</t>
    </r>
  </si>
  <si>
    <r>
      <t>i</t>
    </r>
    <r>
      <rPr>
        <vertAlign val="subscript"/>
        <sz val="11"/>
        <color theme="1"/>
        <rFont val="Calibri"/>
        <family val="2"/>
        <scheme val="minor"/>
      </rPr>
      <t>z</t>
    </r>
  </si>
  <si>
    <r>
      <t>W</t>
    </r>
    <r>
      <rPr>
        <vertAlign val="subscript"/>
        <sz val="11"/>
        <color theme="1"/>
        <rFont val="Calibri"/>
        <family val="2"/>
        <scheme val="minor"/>
      </rPr>
      <t>el,y</t>
    </r>
  </si>
  <si>
    <r>
      <t>W</t>
    </r>
    <r>
      <rPr>
        <vertAlign val="subscript"/>
        <sz val="11"/>
        <color theme="1"/>
        <rFont val="Calibri"/>
        <family val="2"/>
        <scheme val="minor"/>
      </rPr>
      <t>el,z</t>
    </r>
  </si>
  <si>
    <r>
      <t>W</t>
    </r>
    <r>
      <rPr>
        <vertAlign val="subscript"/>
        <sz val="11"/>
        <color theme="1"/>
        <rFont val="Calibri"/>
        <family val="2"/>
        <scheme val="minor"/>
      </rPr>
      <t>pl,y</t>
    </r>
  </si>
  <si>
    <r>
      <t>W</t>
    </r>
    <r>
      <rPr>
        <vertAlign val="subscript"/>
        <sz val="11"/>
        <color theme="1"/>
        <rFont val="Calibri"/>
        <family val="2"/>
        <scheme val="minor"/>
      </rPr>
      <t>pl,z</t>
    </r>
  </si>
  <si>
    <r>
      <t>I</t>
    </r>
    <r>
      <rPr>
        <vertAlign val="subscript"/>
        <sz val="11"/>
        <color theme="1"/>
        <rFont val="Calibri"/>
        <family val="2"/>
        <scheme val="minor"/>
      </rPr>
      <t>w</t>
    </r>
  </si>
  <si>
    <r>
      <t>I</t>
    </r>
    <r>
      <rPr>
        <vertAlign val="subscript"/>
        <sz val="11"/>
        <color theme="1"/>
        <rFont val="Calibri"/>
        <family val="2"/>
        <scheme val="minor"/>
      </rPr>
      <t>T</t>
    </r>
  </si>
  <si>
    <r>
      <t>m</t>
    </r>
    <r>
      <rPr>
        <i/>
        <vertAlign val="superscript"/>
        <sz val="11"/>
        <rFont val="Calibri"/>
        <family val="2"/>
        <scheme val="minor"/>
      </rPr>
      <t>2</t>
    </r>
  </si>
  <si>
    <r>
      <t>cm</t>
    </r>
    <r>
      <rPr>
        <i/>
        <vertAlign val="superscript"/>
        <sz val="11"/>
        <rFont val="Calibri"/>
        <family val="2"/>
        <scheme val="minor"/>
      </rPr>
      <t>4</t>
    </r>
  </si>
  <si>
    <t xml:space="preserve">cm </t>
  </si>
  <si>
    <r>
      <t>cm</t>
    </r>
    <r>
      <rPr>
        <i/>
        <vertAlign val="superscript"/>
        <sz val="11"/>
        <rFont val="Calibri"/>
        <family val="2"/>
        <scheme val="minor"/>
      </rPr>
      <t>3</t>
    </r>
  </si>
  <si>
    <r>
      <t>dm</t>
    </r>
    <r>
      <rPr>
        <i/>
        <vertAlign val="superscript"/>
        <sz val="11"/>
        <rFont val="Calibri"/>
        <family val="2"/>
        <scheme val="minor"/>
      </rPr>
      <t>6</t>
    </r>
  </si>
  <si>
    <r>
      <t>cm</t>
    </r>
    <r>
      <rPr>
        <i/>
        <vertAlign val="superscript"/>
        <sz val="11"/>
        <rFont val="Calibri"/>
        <family val="2"/>
        <scheme val="minor"/>
      </rPr>
      <t>2</t>
    </r>
  </si>
  <si>
    <t>Length</t>
  </si>
  <si>
    <t>DETAILED RESULTS:</t>
  </si>
  <si>
    <r>
      <t xml:space="preserve">Table 5.3 - Norminal values of yield strength </t>
    </r>
    <r>
      <rPr>
        <i/>
        <sz val="11"/>
        <color theme="1"/>
        <rFont val="Calibri"/>
        <family val="2"/>
        <scheme val="minor"/>
      </rPr>
      <t>f</t>
    </r>
    <r>
      <rPr>
        <i/>
        <vertAlign val="subscript"/>
        <sz val="11"/>
        <color theme="1"/>
        <rFont val="Calibri"/>
        <family val="2"/>
        <scheme val="minor"/>
      </rPr>
      <t>y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(N/mm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</si>
  <si>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Steel Grade</t>
  </si>
  <si>
    <t>S275</t>
  </si>
  <si>
    <t>S355</t>
  </si>
  <si>
    <t>S</t>
  </si>
  <si>
    <t>Tf</t>
  </si>
  <si>
    <t>kN</t>
  </si>
  <si>
    <r>
      <t>N</t>
    </r>
    <r>
      <rPr>
        <vertAlign val="subscript"/>
        <sz val="11"/>
        <color theme="1"/>
        <rFont val="Calibri"/>
        <family val="2"/>
        <scheme val="minor"/>
      </rPr>
      <t>Rd</t>
    </r>
  </si>
  <si>
    <t>BUCKLING ABOUT Z AXIS</t>
  </si>
  <si>
    <t>y-y</t>
  </si>
  <si>
    <t>z-z</t>
  </si>
  <si>
    <t>λ</t>
  </si>
  <si>
    <t>BUCKLING ABOUT Y AXIS</t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</si>
  <si>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z</t>
    </r>
  </si>
  <si>
    <r>
      <t>f</t>
    </r>
    <r>
      <rPr>
        <vertAlign val="subscript"/>
        <sz val="11"/>
        <color theme="1"/>
        <rFont val="Calibri"/>
        <family val="2"/>
        <scheme val="minor"/>
      </rPr>
      <t>Rd</t>
    </r>
  </si>
  <si>
    <r>
      <t>N/mm</t>
    </r>
    <r>
      <rPr>
        <i/>
        <vertAlign val="superscript"/>
        <sz val="11"/>
        <rFont val="Calibri"/>
        <family val="2"/>
        <scheme val="minor"/>
      </rPr>
      <t>2</t>
    </r>
  </si>
  <si>
    <t>Lambda y</t>
  </si>
  <si>
    <t>Lambda z</t>
  </si>
  <si>
    <t>y</t>
  </si>
  <si>
    <t>SUMMARY OF RESULTS</t>
  </si>
  <si>
    <t>BENDING ABOUT Y AXIS</t>
  </si>
  <si>
    <t>e</t>
  </si>
  <si>
    <r>
      <t>M</t>
    </r>
    <r>
      <rPr>
        <vertAlign val="subscript"/>
        <sz val="11"/>
        <color theme="1"/>
        <rFont val="Calibri"/>
        <family val="2"/>
        <scheme val="minor"/>
      </rPr>
      <t>y,Ed</t>
    </r>
  </si>
  <si>
    <t>kNm</t>
  </si>
  <si>
    <r>
      <t>M</t>
    </r>
    <r>
      <rPr>
        <vertAlign val="subscript"/>
        <sz val="11"/>
        <color theme="1"/>
        <rFont val="Calibri"/>
        <family val="2"/>
        <scheme val="minor"/>
      </rPr>
      <t>cr</t>
    </r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</si>
  <si>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</si>
  <si>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i/>
        <sz val="11"/>
        <color theme="1"/>
        <rFont val="Calibri"/>
        <family val="2"/>
        <scheme val="minor"/>
      </rPr>
      <t>f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pl,y</t>
    </r>
  </si>
  <si>
    <t>β</t>
  </si>
  <si>
    <r>
      <t>Φ</t>
    </r>
    <r>
      <rPr>
        <vertAlign val="subscript"/>
        <sz val="11"/>
        <color theme="1"/>
        <rFont val="Calibri"/>
        <family val="2"/>
        <scheme val="minor"/>
      </rPr>
      <t>LT</t>
    </r>
  </si>
  <si>
    <r>
      <rPr>
        <sz val="11"/>
        <color theme="1"/>
        <rFont val="Calibri"/>
        <family val="2"/>
      </rPr>
      <t>χ</t>
    </r>
    <r>
      <rPr>
        <vertAlign val="subscript"/>
        <sz val="9.35"/>
        <color theme="1"/>
        <rFont val="Calibri"/>
        <family val="2"/>
      </rPr>
      <t>LT</t>
    </r>
  </si>
  <si>
    <t xml:space="preserve">f </t>
  </si>
  <si>
    <r>
      <t>χ</t>
    </r>
    <r>
      <rPr>
        <vertAlign val="subscript"/>
        <sz val="9.35"/>
        <color theme="1"/>
        <rFont val="Calibri"/>
        <family val="2"/>
      </rPr>
      <t>LT</t>
    </r>
    <r>
      <rPr>
        <vertAlign val="subscript"/>
        <sz val="11"/>
        <color theme="1"/>
        <rFont val="Calibri"/>
        <family val="2"/>
      </rPr>
      <t>,mod</t>
    </r>
  </si>
  <si>
    <r>
      <t>M</t>
    </r>
    <r>
      <rPr>
        <vertAlign val="subscript"/>
        <sz val="11"/>
        <color theme="1"/>
        <rFont val="Calibri"/>
        <family val="2"/>
        <scheme val="minor"/>
      </rPr>
      <t>y,b,Rd</t>
    </r>
  </si>
  <si>
    <t>BENDING ABOUT Z AXIS</t>
  </si>
  <si>
    <r>
      <t>M</t>
    </r>
    <r>
      <rPr>
        <vertAlign val="subscript"/>
        <sz val="11"/>
        <color theme="1"/>
        <rFont val="Calibri"/>
        <family val="2"/>
        <scheme val="minor"/>
      </rPr>
      <t>Z,Ed</t>
    </r>
  </si>
  <si>
    <t>Beam A</t>
  </si>
  <si>
    <t>Beam C</t>
  </si>
  <si>
    <t>Beam B</t>
  </si>
  <si>
    <t>Beam D</t>
  </si>
  <si>
    <t>Total Axial Load</t>
  </si>
  <si>
    <t>SW</t>
  </si>
  <si>
    <r>
      <t>f</t>
    </r>
    <r>
      <rPr>
        <i/>
        <vertAlign val="subscript"/>
        <sz val="11"/>
        <color theme="1"/>
        <rFont val="Calibri"/>
        <family val="2"/>
        <scheme val="minor"/>
      </rPr>
      <t>y</t>
    </r>
    <r>
      <rPr>
        <i/>
        <sz val="11"/>
        <color theme="1"/>
        <rFont val="Calibri"/>
        <family val="2"/>
        <scheme val="minor"/>
      </rPr>
      <t>W</t>
    </r>
    <r>
      <rPr>
        <i/>
        <vertAlign val="subscript"/>
        <sz val="11"/>
        <color theme="1"/>
        <rFont val="Calibri"/>
        <family val="2"/>
        <scheme val="minor"/>
      </rPr>
      <t>pl,y</t>
    </r>
  </si>
  <si>
    <t>AXIAL FORCE:</t>
  </si>
  <si>
    <t>Y-Y BENDING:</t>
  </si>
  <si>
    <t>Z-Z BENDING:</t>
  </si>
  <si>
    <t>Resistance</t>
  </si>
  <si>
    <t>Design value</t>
  </si>
  <si>
    <r>
      <t>f</t>
    </r>
    <r>
      <rPr>
        <i/>
        <vertAlign val="subscript"/>
        <sz val="11"/>
        <color theme="1"/>
        <rFont val="Calibri"/>
        <family val="2"/>
        <scheme val="minor"/>
      </rPr>
      <t>ck</t>
    </r>
    <r>
      <rPr>
        <i/>
        <sz val="11"/>
        <color theme="1"/>
        <rFont val="Calibri"/>
        <family val="2"/>
        <scheme val="minor"/>
      </rPr>
      <t xml:space="preserve"> [N/mm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] = </t>
    </r>
  </si>
  <si>
    <r>
      <rPr>
        <i/>
        <sz val="11"/>
        <color theme="1"/>
        <rFont val="Calibri"/>
        <family val="2"/>
      </rPr>
      <t>f</t>
    </r>
    <r>
      <rPr>
        <i/>
        <vertAlign val="subscript"/>
        <sz val="11"/>
        <color theme="1"/>
        <rFont val="Calibri"/>
        <family val="2"/>
      </rPr>
      <t>jd</t>
    </r>
  </si>
  <si>
    <t>c</t>
  </si>
  <si>
    <r>
      <t>t</t>
    </r>
    <r>
      <rPr>
        <vertAlign val="subscript"/>
        <sz val="11"/>
        <color theme="1"/>
        <rFont val="Calibri"/>
        <family val="2"/>
        <scheme val="minor"/>
      </rPr>
      <t>b</t>
    </r>
  </si>
  <si>
    <r>
      <t>N/mm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</si>
  <si>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BASEPLATE:</t>
  </si>
  <si>
    <t>PLAN DIAGRAM</t>
  </si>
  <si>
    <t>BASEPLATE</t>
  </si>
  <si>
    <t>Company XYZ
Address X
Address Y
Address Z</t>
  </si>
  <si>
    <t>Company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</si>
</sst>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0"/>
    <numFmt numFmtId="166" formatCode="dd/mm/yyyy;@"/>
    <numFmt numFmtId="167" formatCode="[$-415]d/mmm/yyyy;@"/>
    <numFmt numFmtId="168" formatCode="0.000"/>
    <numFmt numFmtId="169" formatCode="&quot;L/&quot;0&quot;or 25mm&quot;\&amp;\A\A\40"/>
    <numFmt numFmtId="170" formatCode="0.0000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 CE"/>
      <charset val="238"/>
    </font>
    <font>
      <u/>
      <sz val="10"/>
      <color indexed="12"/>
      <name val="Arial CE"/>
      <charset val="238"/>
    </font>
    <font>
      <i/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name val="Arial CE"/>
    </font>
    <font>
      <sz val="8"/>
      <name val="Arial CE"/>
      <charset val="238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bscript"/>
      <sz val="9.35"/>
      <color theme="1"/>
      <name val="Calibri"/>
      <family val="2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sz val="11"/>
      <name val="Arial CE"/>
    </font>
    <font>
      <b/>
      <sz val="14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16">
    <xf numFmtId="0" fontId="0" fillId="0" borderId="0" xfId="0"/>
    <xf numFmtId="164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2" fontId="0" fillId="5" borderId="3" xfId="0" applyNumberFormat="1" applyFill="1" applyBorder="1" applyAlignment="1" applyProtection="1">
      <alignment vertical="center"/>
      <protection hidden="1"/>
    </xf>
    <xf numFmtId="2" fontId="2" fillId="5" borderId="10" xfId="0" applyNumberFormat="1" applyFont="1" applyFill="1" applyBorder="1" applyAlignment="1" applyProtection="1">
      <alignment vertical="center"/>
      <protection hidden="1"/>
    </xf>
    <xf numFmtId="2" fontId="6" fillId="2" borderId="0" xfId="0" applyNumberFormat="1" applyFont="1" applyFill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vertical="center"/>
      <protection hidden="1"/>
    </xf>
    <xf numFmtId="0" fontId="9" fillId="4" borderId="11" xfId="1" applyFont="1" applyFill="1" applyBorder="1" applyAlignment="1" applyProtection="1">
      <alignment vertical="center"/>
      <protection hidden="1"/>
    </xf>
    <xf numFmtId="0" fontId="10" fillId="5" borderId="11" xfId="0" applyFont="1" applyFill="1" applyBorder="1" applyAlignment="1" applyProtection="1">
      <alignment vertical="center"/>
      <protection hidden="1"/>
    </xf>
    <xf numFmtId="0" fontId="0" fillId="5" borderId="21" xfId="0" applyFill="1" applyBorder="1" applyAlignment="1" applyProtection="1">
      <alignment horizontal="right" vertical="center"/>
      <protection hidden="1"/>
    </xf>
    <xf numFmtId="167" fontId="6" fillId="2" borderId="0" xfId="0" applyNumberFormat="1" applyFont="1" applyFill="1" applyAlignment="1" applyProtection="1">
      <alignment horizontal="center" vertical="center"/>
      <protection hidden="1"/>
    </xf>
    <xf numFmtId="0" fontId="2" fillId="5" borderId="11" xfId="0" applyFont="1" applyFill="1" applyBorder="1" applyProtection="1">
      <protection hidden="1"/>
    </xf>
    <xf numFmtId="0" fontId="11" fillId="5" borderId="0" xfId="2" applyFill="1" applyBorder="1" applyAlignment="1" applyProtection="1">
      <protection hidden="1"/>
    </xf>
    <xf numFmtId="0" fontId="2" fillId="5" borderId="0" xfId="0" applyFont="1" applyFill="1" applyProtection="1">
      <protection hidden="1"/>
    </xf>
    <xf numFmtId="2" fontId="2" fillId="5" borderId="0" xfId="0" applyNumberFormat="1" applyFont="1" applyFill="1" applyProtection="1">
      <protection hidden="1"/>
    </xf>
    <xf numFmtId="2" fontId="2" fillId="5" borderId="23" xfId="0" applyNumberFormat="1" applyFont="1" applyFill="1" applyBorder="1" applyProtection="1">
      <protection hidden="1"/>
    </xf>
    <xf numFmtId="2" fontId="2" fillId="2" borderId="0" xfId="0" applyNumberFormat="1" applyFont="1" applyFill="1" applyProtection="1">
      <protection hidden="1"/>
    </xf>
    <xf numFmtId="0" fontId="0" fillId="6" borderId="0" xfId="0" applyFill="1" applyProtection="1">
      <protection hidden="1"/>
    </xf>
    <xf numFmtId="0" fontId="7" fillId="5" borderId="0" xfId="0" applyFont="1" applyFill="1" applyAlignment="1" applyProtection="1">
      <alignment horizontal="right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2" fontId="0" fillId="6" borderId="0" xfId="0" applyNumberFormat="1" applyFill="1" applyAlignment="1" applyProtection="1">
      <alignment horizontal="right"/>
      <protection hidden="1"/>
    </xf>
    <xf numFmtId="2" fontId="6" fillId="6" borderId="0" xfId="0" applyNumberFormat="1" applyFont="1" applyFill="1" applyAlignment="1" applyProtection="1">
      <alignment horizontal="left" vertical="center"/>
      <protection hidden="1"/>
    </xf>
    <xf numFmtId="2" fontId="6" fillId="6" borderId="0" xfId="0" applyNumberFormat="1" applyFont="1" applyFill="1" applyAlignment="1" applyProtection="1">
      <alignment horizontal="left"/>
      <protection hidden="1"/>
    </xf>
    <xf numFmtId="164" fontId="0" fillId="5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0" fontId="7" fillId="5" borderId="0" xfId="0" applyFont="1" applyFill="1" applyProtection="1">
      <protection hidden="1"/>
    </xf>
    <xf numFmtId="164" fontId="0" fillId="2" borderId="0" xfId="0" applyNumberFormat="1" applyFill="1" applyProtection="1">
      <protection hidden="1"/>
    </xf>
    <xf numFmtId="2" fontId="2" fillId="5" borderId="23" xfId="0" applyNumberFormat="1" applyFont="1" applyFill="1" applyBorder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2" fontId="0" fillId="5" borderId="0" xfId="0" applyNumberFormat="1" applyFill="1" applyProtection="1"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2" borderId="0" xfId="0" quotePrefix="1" applyFill="1" applyProtection="1">
      <protection hidden="1"/>
    </xf>
    <xf numFmtId="0" fontId="0" fillId="5" borderId="11" xfId="0" applyFill="1" applyBorder="1" applyProtection="1">
      <protection hidden="1"/>
    </xf>
    <xf numFmtId="0" fontId="8" fillId="4" borderId="23" xfId="0" applyFont="1" applyFill="1" applyBorder="1" applyAlignment="1" applyProtection="1">
      <alignment vertical="center"/>
      <protection hidden="1"/>
    </xf>
    <xf numFmtId="0" fontId="8" fillId="6" borderId="0" xfId="0" applyFont="1" applyFill="1" applyAlignment="1" applyProtection="1">
      <alignment vertical="center"/>
      <protection hidden="1"/>
    </xf>
    <xf numFmtId="0" fontId="7" fillId="4" borderId="23" xfId="0" applyFont="1" applyFill="1" applyBorder="1" applyAlignment="1" applyProtection="1">
      <alignment vertical="center"/>
      <protection hidden="1"/>
    </xf>
    <xf numFmtId="0" fontId="7" fillId="6" borderId="0" xfId="0" applyFont="1" applyFill="1" applyAlignment="1" applyProtection="1">
      <alignment vertical="center"/>
      <protection hidden="1"/>
    </xf>
    <xf numFmtId="0" fontId="0" fillId="5" borderId="23" xfId="0" applyFill="1" applyBorder="1" applyProtection="1">
      <protection hidden="1"/>
    </xf>
    <xf numFmtId="0" fontId="7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center"/>
      <protection hidden="1"/>
    </xf>
    <xf numFmtId="1" fontId="0" fillId="2" borderId="0" xfId="0" applyNumberFormat="1" applyFill="1" applyAlignment="1" applyProtection="1">
      <alignment horizontal="center"/>
      <protection hidden="1"/>
    </xf>
    <xf numFmtId="2" fontId="0" fillId="2" borderId="0" xfId="0" applyNumberFormat="1" applyFill="1" applyProtection="1">
      <protection hidden="1"/>
    </xf>
    <xf numFmtId="0" fontId="15" fillId="2" borderId="0" xfId="0" applyFont="1" applyFill="1" applyProtection="1">
      <protection hidden="1"/>
    </xf>
    <xf numFmtId="169" fontId="0" fillId="2" borderId="0" xfId="0" applyNumberFormat="1" applyFill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13" fillId="4" borderId="0" xfId="0" applyFont="1" applyFill="1" applyAlignment="1" applyProtection="1">
      <alignment horizontal="center" vertical="top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12" fillId="6" borderId="0" xfId="0" applyFont="1" applyFill="1" applyAlignment="1" applyProtection="1">
      <alignment vertical="center"/>
      <protection hidden="1"/>
    </xf>
    <xf numFmtId="0" fontId="0" fillId="5" borderId="5" xfId="0" applyFill="1" applyBorder="1" applyProtection="1">
      <protection hidden="1"/>
    </xf>
    <xf numFmtId="0" fontId="16" fillId="0" borderId="6" xfId="0" applyFont="1" applyBorder="1" applyProtection="1">
      <protection hidden="1"/>
    </xf>
    <xf numFmtId="0" fontId="0" fillId="5" borderId="6" xfId="0" applyFill="1" applyBorder="1" applyProtection="1">
      <protection hidden="1"/>
    </xf>
    <xf numFmtId="2" fontId="17" fillId="0" borderId="6" xfId="0" applyNumberFormat="1" applyFont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14" fillId="6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right"/>
    </xf>
    <xf numFmtId="0" fontId="15" fillId="0" borderId="31" xfId="0" applyFont="1" applyBorder="1"/>
    <xf numFmtId="0" fontId="0" fillId="0" borderId="32" xfId="0" applyBorder="1"/>
    <xf numFmtId="0" fontId="0" fillId="0" borderId="33" xfId="0" applyBorder="1"/>
    <xf numFmtId="0" fontId="0" fillId="4" borderId="25" xfId="0" applyFill="1" applyBorder="1" applyAlignment="1" applyProtection="1">
      <alignment horizontal="center" vertical="center"/>
      <protection hidden="1"/>
    </xf>
    <xf numFmtId="0" fontId="0" fillId="0" borderId="12" xfId="0" applyBorder="1"/>
    <xf numFmtId="168" fontId="0" fillId="0" borderId="0" xfId="0" applyNumberFormat="1"/>
    <xf numFmtId="170" fontId="0" fillId="0" borderId="0" xfId="0" applyNumberFormat="1"/>
    <xf numFmtId="1" fontId="0" fillId="0" borderId="0" xfId="0" applyNumberFormat="1"/>
    <xf numFmtId="0" fontId="15" fillId="4" borderId="25" xfId="0" applyFont="1" applyFill="1" applyBorder="1" applyAlignment="1" applyProtection="1">
      <alignment horizontal="center" vertical="center"/>
      <protection hidden="1"/>
    </xf>
    <xf numFmtId="168" fontId="0" fillId="4" borderId="25" xfId="0" applyNumberFormat="1" applyFill="1" applyBorder="1" applyAlignment="1" applyProtection="1">
      <alignment horizontal="center"/>
      <protection hidden="1"/>
    </xf>
    <xf numFmtId="0" fontId="7" fillId="4" borderId="25" xfId="0" applyFont="1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2" fontId="0" fillId="6" borderId="0" xfId="0" applyNumberFormat="1" applyFill="1" applyBorder="1" applyAlignment="1" applyProtection="1">
      <protection hidden="1"/>
    </xf>
    <xf numFmtId="0" fontId="12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8" fillId="6" borderId="11" xfId="0" applyFont="1" applyFill="1" applyBorder="1" applyAlignment="1" applyProtection="1">
      <alignment vertical="center"/>
      <protection hidden="1"/>
    </xf>
    <xf numFmtId="0" fontId="12" fillId="6" borderId="11" xfId="0" applyFont="1" applyFill="1" applyBorder="1" applyAlignment="1" applyProtection="1">
      <alignment vertical="center"/>
      <protection hidden="1"/>
    </xf>
    <xf numFmtId="2" fontId="0" fillId="7" borderId="0" xfId="0" applyNumberFormat="1" applyFill="1" applyBorder="1" applyAlignment="1" applyProtection="1">
      <alignment horizontal="center" vertical="center"/>
      <protection hidden="1"/>
    </xf>
    <xf numFmtId="2" fontId="0" fillId="7" borderId="12" xfId="0" applyNumberFormat="1" applyFill="1" applyBorder="1" applyAlignment="1" applyProtection="1">
      <alignment horizontal="left" vertical="center"/>
      <protection hidden="1"/>
    </xf>
    <xf numFmtId="0" fontId="0" fillId="7" borderId="27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0" fillId="7" borderId="13" xfId="0" applyFill="1" applyBorder="1" applyProtection="1">
      <protection hidden="1"/>
    </xf>
    <xf numFmtId="0" fontId="0" fillId="7" borderId="1" xfId="0" applyFill="1" applyBorder="1" applyProtection="1">
      <protection hidden="1"/>
    </xf>
    <xf numFmtId="0" fontId="0" fillId="7" borderId="19" xfId="0" applyFill="1" applyBorder="1" applyProtection="1">
      <protection hidden="1"/>
    </xf>
    <xf numFmtId="0" fontId="15" fillId="7" borderId="25" xfId="0" applyFont="1" applyFill="1" applyBorder="1" applyAlignment="1" applyProtection="1">
      <alignment vertical="center"/>
      <protection hidden="1"/>
    </xf>
    <xf numFmtId="2" fontId="14" fillId="7" borderId="26" xfId="0" applyNumberFormat="1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vertical="center"/>
      <protection hidden="1"/>
    </xf>
    <xf numFmtId="1" fontId="14" fillId="7" borderId="12" xfId="0" applyNumberFormat="1" applyFont="1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protection hidden="1"/>
    </xf>
    <xf numFmtId="1" fontId="14" fillId="7" borderId="19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164" fontId="1" fillId="7" borderId="0" xfId="0" applyNumberFormat="1" applyFont="1" applyFill="1" applyBorder="1" applyAlignment="1" applyProtection="1">
      <alignment vertical="center"/>
      <protection hidden="1"/>
    </xf>
    <xf numFmtId="164" fontId="0" fillId="7" borderId="1" xfId="0" applyNumberFormat="1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0" fillId="7" borderId="25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 vertical="center"/>
      <protection hidden="1"/>
    </xf>
    <xf numFmtId="0" fontId="0" fillId="7" borderId="25" xfId="0" applyFill="1" applyBorder="1" applyAlignment="1" applyProtection="1">
      <alignment horizontal="center" vertical="center"/>
      <protection hidden="1"/>
    </xf>
    <xf numFmtId="0" fontId="12" fillId="7" borderId="26" xfId="0" applyFont="1" applyFill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1" fontId="0" fillId="7" borderId="0" xfId="0" applyNumberFormat="1" applyFill="1" applyBorder="1" applyProtection="1">
      <protection hidden="1"/>
    </xf>
    <xf numFmtId="0" fontId="12" fillId="7" borderId="12" xfId="0" applyFont="1" applyFill="1" applyBorder="1" applyProtection="1">
      <protection hidden="1"/>
    </xf>
    <xf numFmtId="0" fontId="12" fillId="7" borderId="12" xfId="0" applyFont="1" applyFill="1" applyBorder="1" applyAlignment="1" applyProtection="1">
      <alignment horizontal="left" vertical="center"/>
      <protection hidden="1"/>
    </xf>
    <xf numFmtId="0" fontId="0" fillId="7" borderId="0" xfId="0" quotePrefix="1" applyFill="1" applyAlignment="1" applyProtection="1">
      <alignment horizontal="center"/>
      <protection hidden="1"/>
    </xf>
    <xf numFmtId="0" fontId="12" fillId="7" borderId="0" xfId="0" applyFont="1" applyFill="1" applyBorder="1" applyProtection="1">
      <protection hidden="1"/>
    </xf>
    <xf numFmtId="0" fontId="7" fillId="7" borderId="0" xfId="0" applyFont="1" applyFill="1" applyAlignment="1" applyProtection="1">
      <alignment horizontal="center"/>
      <protection hidden="1"/>
    </xf>
    <xf numFmtId="0" fontId="7" fillId="7" borderId="0" xfId="0" applyFont="1" applyFill="1" applyBorder="1" applyProtection="1"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left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12" fillId="7" borderId="19" xfId="0" applyFont="1" applyFill="1" applyBorder="1" applyAlignment="1" applyProtection="1">
      <alignment horizontal="left" vertical="center"/>
      <protection hidden="1"/>
    </xf>
    <xf numFmtId="0" fontId="14" fillId="7" borderId="13" xfId="0" applyFont="1" applyFill="1" applyBorder="1" applyProtection="1">
      <protection hidden="1"/>
    </xf>
    <xf numFmtId="0" fontId="14" fillId="7" borderId="25" xfId="0" applyFont="1" applyFill="1" applyBorder="1" applyAlignment="1" applyProtection="1">
      <alignment horizontal="center"/>
      <protection hidden="1"/>
    </xf>
    <xf numFmtId="0" fontId="14" fillId="7" borderId="26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left"/>
      <protection hidden="1"/>
    </xf>
    <xf numFmtId="2" fontId="0" fillId="7" borderId="0" xfId="0" applyNumberFormat="1" applyFill="1" applyAlignment="1" applyProtection="1">
      <alignment horizontal="left"/>
      <protection hidden="1"/>
    </xf>
    <xf numFmtId="2" fontId="0" fillId="7" borderId="0" xfId="0" applyNumberFormat="1" applyFill="1" applyBorder="1" applyAlignment="1" applyProtection="1">
      <alignment horizontal="left"/>
      <protection hidden="1"/>
    </xf>
    <xf numFmtId="2" fontId="0" fillId="7" borderId="1" xfId="0" applyNumberFormat="1" applyFill="1" applyBorder="1" applyAlignment="1" applyProtection="1">
      <alignment horizontal="left"/>
      <protection hidden="1"/>
    </xf>
    <xf numFmtId="2" fontId="14" fillId="7" borderId="1" xfId="0" applyNumberFormat="1" applyFont="1" applyFill="1" applyBorder="1" applyAlignment="1" applyProtection="1">
      <alignment horizontal="center"/>
      <protection hidden="1"/>
    </xf>
    <xf numFmtId="2" fontId="14" fillId="7" borderId="19" xfId="0" applyNumberFormat="1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0" fontId="8" fillId="7" borderId="20" xfId="0" applyFont="1" applyFill="1" applyBorder="1" applyAlignment="1" applyProtection="1">
      <alignment horizontal="center" vertical="center"/>
      <protection hidden="1"/>
    </xf>
    <xf numFmtId="0" fontId="29" fillId="7" borderId="24" xfId="0" applyFont="1" applyFill="1" applyBorder="1" applyAlignment="1" applyProtection="1">
      <alignment horizontal="center" vertical="center"/>
      <protection hidden="1"/>
    </xf>
    <xf numFmtId="0" fontId="29" fillId="7" borderId="25" xfId="0" applyFont="1" applyFill="1" applyBorder="1" applyAlignment="1" applyProtection="1">
      <alignment horizontal="center" vertical="center"/>
      <protection hidden="1"/>
    </xf>
    <xf numFmtId="0" fontId="14" fillId="7" borderId="27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horizontal="center" vertical="center"/>
      <protection hidden="1"/>
    </xf>
    <xf numFmtId="0" fontId="0" fillId="7" borderId="13" xfId="0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7" borderId="1" xfId="0" applyNumberFormat="1" applyFill="1" applyBorder="1" applyAlignment="1" applyProtection="1">
      <alignment horizontal="center"/>
      <protection hidden="1"/>
    </xf>
    <xf numFmtId="1" fontId="0" fillId="7" borderId="0" xfId="0" applyNumberFormat="1" applyFill="1" applyBorder="1" applyAlignment="1" applyProtection="1">
      <alignment horizontal="center"/>
      <protection hidden="1"/>
    </xf>
    <xf numFmtId="2" fontId="0" fillId="7" borderId="25" xfId="0" applyNumberFormat="1" applyFill="1" applyBorder="1" applyAlignment="1" applyProtection="1">
      <alignment horizontal="center"/>
      <protection hidden="1"/>
    </xf>
    <xf numFmtId="0" fontId="0" fillId="7" borderId="27" xfId="0" applyFill="1" applyBorder="1" applyAlignment="1" applyProtection="1">
      <alignment horizontal="right" vertical="center"/>
      <protection hidden="1"/>
    </xf>
    <xf numFmtId="0" fontId="0" fillId="7" borderId="0" xfId="0" applyFill="1" applyBorder="1" applyAlignment="1" applyProtection="1">
      <alignment horizontal="right" vertical="center"/>
      <protection hidden="1"/>
    </xf>
    <xf numFmtId="2" fontId="7" fillId="7" borderId="0" xfId="0" applyNumberFormat="1" applyFont="1" applyFill="1" applyBorder="1" applyAlignment="1" applyProtection="1">
      <alignment horizontal="center" vertical="center"/>
      <protection hidden="1"/>
    </xf>
    <xf numFmtId="2" fontId="0" fillId="7" borderId="12" xfId="0" applyNumberFormat="1" applyFill="1" applyBorder="1" applyAlignment="1" applyProtection="1">
      <alignment horizontal="left" vertical="center"/>
      <protection hidden="1"/>
    </xf>
    <xf numFmtId="0" fontId="6" fillId="7" borderId="14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6" fillId="7" borderId="20" xfId="0" applyFont="1" applyFill="1" applyBorder="1" applyAlignment="1" applyProtection="1">
      <alignment horizontal="center" vertical="center"/>
      <protection hidden="1"/>
    </xf>
    <xf numFmtId="2" fontId="14" fillId="7" borderId="0" xfId="0" applyNumberFormat="1" applyFont="1" applyFill="1" applyBorder="1" applyAlignment="1" applyProtection="1">
      <alignment horizontal="center"/>
      <protection hidden="1"/>
    </xf>
    <xf numFmtId="2" fontId="14" fillId="7" borderId="12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19" xfId="0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12" fillId="7" borderId="12" xfId="0" applyFont="1" applyFill="1" applyBorder="1" applyAlignment="1" applyProtection="1">
      <alignment horizontal="center" vertical="center"/>
      <protection hidden="1"/>
    </xf>
    <xf numFmtId="0" fontId="12" fillId="7" borderId="25" xfId="0" applyFont="1" applyFill="1" applyBorder="1" applyAlignment="1" applyProtection="1">
      <alignment horizontal="center" vertical="center"/>
      <protection hidden="1"/>
    </xf>
    <xf numFmtId="0" fontId="12" fillId="7" borderId="26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/>
      <protection hidden="1"/>
    </xf>
    <xf numFmtId="0" fontId="14" fillId="7" borderId="19" xfId="0" applyFont="1" applyFill="1" applyBorder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/>
      <protection hidden="1"/>
    </xf>
    <xf numFmtId="0" fontId="14" fillId="7" borderId="12" xfId="0" applyFont="1" applyFill="1" applyBorder="1" applyAlignment="1" applyProtection="1">
      <alignment horizontal="center"/>
      <protection hidden="1"/>
    </xf>
    <xf numFmtId="0" fontId="14" fillId="7" borderId="25" xfId="0" applyFont="1" applyFill="1" applyBorder="1" applyAlignment="1" applyProtection="1">
      <alignment horizontal="center"/>
      <protection hidden="1"/>
    </xf>
    <xf numFmtId="0" fontId="14" fillId="7" borderId="26" xfId="0" applyFon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0" fillId="7" borderId="17" xfId="0" applyFill="1" applyBorder="1" applyAlignment="1" applyProtection="1">
      <alignment horizontal="center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1" fontId="0" fillId="7" borderId="0" xfId="0" applyNumberFormat="1" applyFill="1" applyAlignment="1" applyProtection="1">
      <alignment horizontal="center"/>
      <protection hidden="1"/>
    </xf>
    <xf numFmtId="0" fontId="15" fillId="7" borderId="24" xfId="0" applyFont="1" applyFill="1" applyBorder="1" applyAlignment="1" applyProtection="1">
      <alignment horizontal="center" vertical="center"/>
      <protection hidden="1"/>
    </xf>
    <xf numFmtId="0" fontId="15" fillId="7" borderId="25" xfId="0" applyFont="1" applyFill="1" applyBorder="1" applyAlignment="1" applyProtection="1">
      <alignment horizontal="center" vertical="center"/>
      <protection hidden="1"/>
    </xf>
    <xf numFmtId="164" fontId="0" fillId="7" borderId="0" xfId="0" applyNumberFormat="1" applyFill="1" applyBorder="1" applyAlignment="1" applyProtection="1">
      <alignment horizontal="center"/>
      <protection hidden="1"/>
    </xf>
    <xf numFmtId="0" fontId="0" fillId="7" borderId="27" xfId="0" applyFill="1" applyBorder="1" applyAlignment="1" applyProtection="1">
      <alignment horizontal="center"/>
      <protection hidden="1"/>
    </xf>
    <xf numFmtId="0" fontId="14" fillId="7" borderId="24" xfId="0" applyFont="1" applyFill="1" applyBorder="1" applyAlignment="1" applyProtection="1">
      <alignment horizontal="center"/>
      <protection hidden="1"/>
    </xf>
    <xf numFmtId="2" fontId="0" fillId="7" borderId="0" xfId="0" applyNumberFormat="1" applyFill="1" applyBorder="1" applyAlignment="1" applyProtection="1">
      <alignment horizontal="center"/>
      <protection hidden="1"/>
    </xf>
    <xf numFmtId="164" fontId="0" fillId="7" borderId="1" xfId="0" applyNumberFormat="1" applyFill="1" applyBorder="1" applyAlignment="1" applyProtection="1">
      <alignment horizontal="center"/>
      <protection hidden="1"/>
    </xf>
    <xf numFmtId="0" fontId="14" fillId="7" borderId="13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1" fillId="7" borderId="17" xfId="0" applyFont="1" applyFill="1" applyBorder="1" applyAlignment="1" applyProtection="1">
      <alignment horizontal="center"/>
      <protection hidden="1"/>
    </xf>
    <xf numFmtId="0" fontId="1" fillId="7" borderId="20" xfId="0" applyFont="1" applyFill="1" applyBorder="1" applyAlignment="1" applyProtection="1">
      <alignment horizontal="center"/>
      <protection hidden="1"/>
    </xf>
    <xf numFmtId="0" fontId="0" fillId="7" borderId="14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center"/>
      <protection hidden="1"/>
    </xf>
    <xf numFmtId="164" fontId="0" fillId="7" borderId="25" xfId="0" applyNumberFormat="1" applyFill="1" applyBorder="1" applyAlignment="1" applyProtection="1">
      <alignment horizontal="center"/>
      <protection hidden="1"/>
    </xf>
    <xf numFmtId="0" fontId="35" fillId="7" borderId="25" xfId="0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/>
    </xf>
    <xf numFmtId="0" fontId="7" fillId="7" borderId="24" xfId="0" applyFont="1" applyFill="1" applyBorder="1" applyAlignment="1" applyProtection="1">
      <alignment horizontal="center" vertical="center"/>
      <protection hidden="1"/>
    </xf>
    <xf numFmtId="0" fontId="7" fillId="7" borderId="25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2" fontId="7" fillId="6" borderId="0" xfId="0" applyNumberFormat="1" applyFont="1" applyFill="1" applyAlignment="1" applyProtection="1">
      <alignment horizontal="center" vertical="center"/>
      <protection hidden="1"/>
    </xf>
    <xf numFmtId="2" fontId="0" fillId="6" borderId="0" xfId="0" applyNumberFormat="1" applyFill="1" applyAlignment="1" applyProtection="1">
      <alignment horizontal="center" vertical="center" shrinkToFit="1"/>
      <protection hidden="1"/>
    </xf>
    <xf numFmtId="168" fontId="8" fillId="6" borderId="0" xfId="0" applyNumberFormat="1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right" vertical="center" indent="1"/>
      <protection hidden="1"/>
    </xf>
    <xf numFmtId="0" fontId="13" fillId="4" borderId="0" xfId="0" applyFont="1" applyFill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2" fontId="12" fillId="6" borderId="0" xfId="0" applyNumberFormat="1" applyFont="1" applyFill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1" fillId="7" borderId="27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1" fontId="1" fillId="7" borderId="0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8" fillId="7" borderId="14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0" fillId="7" borderId="14" xfId="0" applyFont="1" applyFill="1" applyBorder="1" applyAlignment="1" applyProtection="1">
      <alignment horizontal="center"/>
      <protection hidden="1"/>
    </xf>
    <xf numFmtId="0" fontId="0" fillId="7" borderId="17" xfId="0" applyFont="1" applyFill="1" applyBorder="1" applyAlignment="1" applyProtection="1">
      <alignment horizontal="center"/>
      <protection hidden="1"/>
    </xf>
    <xf numFmtId="164" fontId="1" fillId="7" borderId="0" xfId="0" applyNumberFormat="1" applyFont="1" applyFill="1" applyBorder="1" applyAlignment="1" applyProtection="1">
      <alignment horizontal="center" vertical="center"/>
      <protection hidden="1"/>
    </xf>
    <xf numFmtId="2" fontId="1" fillId="7" borderId="0" xfId="0" applyNumberFormat="1" applyFont="1" applyFill="1" applyBorder="1" applyAlignment="1" applyProtection="1">
      <alignment horizontal="center" vertical="center"/>
      <protection hidden="1"/>
    </xf>
    <xf numFmtId="0" fontId="29" fillId="7" borderId="13" xfId="0" applyFont="1" applyFill="1" applyBorder="1" applyAlignment="1" applyProtection="1">
      <alignment horizontal="center"/>
      <protection hidden="1"/>
    </xf>
    <xf numFmtId="0" fontId="8" fillId="7" borderId="14" xfId="0" applyFont="1" applyFill="1" applyBorder="1" applyAlignment="1" applyProtection="1">
      <alignment horizontal="center"/>
      <protection hidden="1"/>
    </xf>
    <xf numFmtId="0" fontId="8" fillId="7" borderId="17" xfId="0" applyFont="1" applyFill="1" applyBorder="1" applyAlignment="1" applyProtection="1">
      <alignment horizontal="center"/>
      <protection hidden="1"/>
    </xf>
    <xf numFmtId="0" fontId="8" fillId="7" borderId="20" xfId="0" applyFont="1" applyFill="1" applyBorder="1" applyAlignment="1" applyProtection="1">
      <alignment horizontal="center"/>
      <protection hidden="1"/>
    </xf>
    <xf numFmtId="2" fontId="0" fillId="7" borderId="24" xfId="0" applyNumberFormat="1" applyFont="1" applyFill="1" applyBorder="1" applyAlignment="1" applyProtection="1">
      <alignment horizontal="center" shrinkToFit="1"/>
      <protection hidden="1"/>
    </xf>
    <xf numFmtId="2" fontId="0" fillId="7" borderId="25" xfId="0" applyNumberFormat="1" applyFont="1" applyFill="1" applyBorder="1" applyAlignment="1" applyProtection="1">
      <alignment horizontal="center" shrinkToFit="1"/>
      <protection hidden="1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12" xfId="0" applyFont="1" applyFill="1" applyBorder="1" applyAlignment="1" applyProtection="1">
      <alignment horizontal="center"/>
      <protection locked="0"/>
    </xf>
    <xf numFmtId="0" fontId="15" fillId="7" borderId="27" xfId="0" applyFont="1" applyFill="1" applyBorder="1" applyAlignment="1" applyProtection="1">
      <alignment horizontal="center"/>
      <protection hidden="1"/>
    </xf>
    <xf numFmtId="2" fontId="34" fillId="7" borderId="0" xfId="0" applyNumberFormat="1" applyFont="1" applyFill="1" applyBorder="1" applyAlignment="1" applyProtection="1">
      <alignment horizontal="center"/>
      <protection locked="0"/>
    </xf>
    <xf numFmtId="2" fontId="34" fillId="7" borderId="12" xfId="0" applyNumberFormat="1" applyFont="1" applyFill="1" applyBorder="1" applyAlignment="1" applyProtection="1">
      <alignment horizontal="center"/>
      <protection locked="0"/>
    </xf>
    <xf numFmtId="0" fontId="34" fillId="7" borderId="1" xfId="0" applyFont="1" applyFill="1" applyBorder="1" applyAlignment="1" applyProtection="1">
      <alignment horizontal="center"/>
      <protection locked="0"/>
    </xf>
    <xf numFmtId="0" fontId="34" fillId="7" borderId="19" xfId="0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Alignment="1" applyProtection="1">
      <alignment horizontal="center"/>
      <protection hidden="1"/>
    </xf>
    <xf numFmtId="0" fontId="0" fillId="7" borderId="24" xfId="0" applyFill="1" applyBorder="1" applyAlignment="1" applyProtection="1">
      <alignment horizontal="right"/>
      <protection hidden="1"/>
    </xf>
    <xf numFmtId="0" fontId="7" fillId="7" borderId="25" xfId="0" applyFont="1" applyFill="1" applyBorder="1" applyAlignment="1" applyProtection="1">
      <alignment horizontal="right"/>
      <protection hidden="1"/>
    </xf>
    <xf numFmtId="0" fontId="34" fillId="7" borderId="25" xfId="0" applyFont="1" applyFill="1" applyBorder="1" applyAlignment="1" applyProtection="1">
      <alignment horizontal="center"/>
      <protection locked="0"/>
    </xf>
    <xf numFmtId="0" fontId="34" fillId="7" borderId="26" xfId="0" applyFont="1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hidden="1"/>
    </xf>
    <xf numFmtId="0" fontId="0" fillId="7" borderId="27" xfId="0" applyFill="1" applyBorder="1" applyAlignment="1" applyProtection="1">
      <alignment horizontal="right"/>
      <protection hidden="1"/>
    </xf>
    <xf numFmtId="0" fontId="0" fillId="7" borderId="0" xfId="0" applyFill="1" applyAlignment="1" applyProtection="1">
      <alignment horizontal="right"/>
      <protection hidden="1"/>
    </xf>
    <xf numFmtId="0" fontId="8" fillId="5" borderId="16" xfId="0" applyFont="1" applyFill="1" applyBorder="1" applyAlignment="1" applyProtection="1">
      <alignment horizontal="left" vertical="center" indent="1"/>
      <protection locked="0"/>
    </xf>
    <xf numFmtId="0" fontId="8" fillId="5" borderId="17" xfId="0" applyFont="1" applyFill="1" applyBorder="1" applyAlignment="1" applyProtection="1">
      <alignment horizontal="left" vertical="center" indent="1"/>
      <protection locked="0"/>
    </xf>
    <xf numFmtId="0" fontId="8" fillId="5" borderId="20" xfId="0" applyFont="1" applyFill="1" applyBorder="1" applyAlignment="1" applyProtection="1">
      <alignment horizontal="left" vertical="center" indent="1"/>
      <protection locked="0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7" xfId="0" applyFill="1" applyBorder="1" applyAlignment="1" applyProtection="1">
      <alignment horizontal="center" vertical="center"/>
      <protection hidden="1"/>
    </xf>
    <xf numFmtId="0" fontId="7" fillId="5" borderId="17" xfId="0" applyFont="1" applyFill="1" applyBorder="1" applyAlignment="1" applyProtection="1">
      <alignment horizontal="center" vertical="center"/>
      <protection hidden="1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0" fontId="7" fillId="5" borderId="15" xfId="0" applyFont="1" applyFill="1" applyBorder="1" applyAlignment="1" applyProtection="1">
      <alignment horizontal="center" vertical="center"/>
      <protection hidden="1"/>
    </xf>
    <xf numFmtId="166" fontId="8" fillId="5" borderId="16" xfId="0" applyNumberFormat="1" applyFont="1" applyFill="1" applyBorder="1" applyAlignment="1" applyProtection="1">
      <alignment horizontal="center" vertical="center"/>
      <protection hidden="1"/>
    </xf>
    <xf numFmtId="166" fontId="8" fillId="5" borderId="17" xfId="0" applyNumberFormat="1" applyFont="1" applyFill="1" applyBorder="1" applyAlignment="1" applyProtection="1">
      <alignment horizontal="center" vertical="center"/>
      <protection hidden="1"/>
    </xf>
    <xf numFmtId="166" fontId="8" fillId="5" borderId="18" xfId="0" applyNumberFormat="1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center" vertical="center"/>
      <protection hidden="1"/>
    </xf>
    <xf numFmtId="0" fontId="7" fillId="7" borderId="20" xfId="0" applyFont="1" applyFill="1" applyBorder="1" applyAlignment="1" applyProtection="1">
      <alignment horizontal="center" vertical="center"/>
      <protection hidden="1"/>
    </xf>
    <xf numFmtId="0" fontId="8" fillId="7" borderId="24" xfId="0" applyFont="1" applyFill="1" applyBorder="1" applyAlignment="1" applyProtection="1">
      <alignment horizontal="center"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</xf>
    <xf numFmtId="0" fontId="1" fillId="7" borderId="12" xfId="0" applyFont="1" applyFill="1" applyBorder="1" applyAlignment="1" applyProtection="1">
      <alignment horizontal="center"/>
    </xf>
    <xf numFmtId="0" fontId="33" fillId="7" borderId="24" xfId="0" applyFont="1" applyFill="1" applyBorder="1" applyAlignment="1" applyProtection="1">
      <alignment horizontal="center" vertical="center"/>
      <protection locked="0"/>
    </xf>
    <xf numFmtId="0" fontId="33" fillId="7" borderId="25" xfId="0" applyFont="1" applyFill="1" applyBorder="1" applyAlignment="1" applyProtection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33" fillId="7" borderId="12" xfId="0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 vertical="center"/>
      <protection locked="0"/>
    </xf>
    <xf numFmtId="0" fontId="33" fillId="7" borderId="1" xfId="0" applyFont="1" applyFill="1" applyBorder="1" applyAlignment="1" applyProtection="1">
      <alignment horizontal="center" vertical="center"/>
      <protection locked="0"/>
    </xf>
    <xf numFmtId="0" fontId="33" fillId="7" borderId="19" xfId="0" applyFont="1" applyFill="1" applyBorder="1" applyAlignment="1" applyProtection="1">
      <alignment horizontal="center" vertical="center"/>
      <protection locked="0"/>
    </xf>
    <xf numFmtId="2" fontId="0" fillId="7" borderId="27" xfId="0" applyNumberFormat="1" applyFont="1" applyFill="1" applyBorder="1" applyAlignment="1" applyProtection="1">
      <alignment horizontal="center" shrinkToFit="1"/>
      <protection hidden="1"/>
    </xf>
    <xf numFmtId="2" fontId="0" fillId="7" borderId="0" xfId="0" applyNumberFormat="1" applyFont="1" applyFill="1" applyBorder="1" applyAlignment="1" applyProtection="1">
      <alignment horizontal="center" shrinkToFit="1"/>
      <protection hidden="1"/>
    </xf>
    <xf numFmtId="0" fontId="32" fillId="7" borderId="27" xfId="0" applyFont="1" applyFill="1" applyBorder="1" applyAlignment="1" applyProtection="1">
      <alignment horizontal="center" vertical="center" wrapText="1"/>
      <protection hidden="1"/>
    </xf>
    <xf numFmtId="0" fontId="32" fillId="7" borderId="29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30" xfId="0" applyFont="1" applyFill="1" applyBorder="1" applyAlignment="1" applyProtection="1">
      <alignment horizontal="center" vertical="center" wrapText="1"/>
      <protection hidden="1"/>
    </xf>
    <xf numFmtId="2" fontId="1" fillId="7" borderId="34" xfId="0" applyNumberFormat="1" applyFont="1" applyFill="1" applyBorder="1" applyAlignment="1" applyProtection="1">
      <alignment horizontal="center" vertical="center" shrinkToFit="1"/>
    </xf>
    <xf numFmtId="2" fontId="1" fillId="7" borderId="12" xfId="0" applyNumberFormat="1" applyFont="1" applyFill="1" applyBorder="1" applyAlignment="1" applyProtection="1">
      <alignment horizontal="center" vertical="center" shrinkToFit="1"/>
    </xf>
    <xf numFmtId="2" fontId="1" fillId="7" borderId="22" xfId="0" applyNumberFormat="1" applyFont="1" applyFill="1" applyBorder="1" applyAlignment="1" applyProtection="1">
      <alignment horizontal="center" vertical="center" shrinkToFit="1"/>
    </xf>
    <xf numFmtId="2" fontId="1" fillId="7" borderId="19" xfId="0" applyNumberFormat="1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 vertical="center" wrapText="1" indent="1"/>
      <protection hidden="1"/>
    </xf>
    <xf numFmtId="0" fontId="4" fillId="0" borderId="8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left" vertical="center" wrapText="1" indent="1"/>
      <protection hidden="1"/>
    </xf>
    <xf numFmtId="0" fontId="4" fillId="0" borderId="12" xfId="0" applyFont="1" applyBorder="1" applyAlignment="1" applyProtection="1">
      <alignment horizontal="left" vertical="center" wrapText="1" indent="1"/>
      <protection hidden="1"/>
    </xf>
    <xf numFmtId="0" fontId="4" fillId="0" borderId="1" xfId="0" applyFont="1" applyBorder="1" applyAlignment="1" applyProtection="1">
      <alignment horizontal="left" vertical="center" wrapText="1" indent="1"/>
      <protection hidden="1"/>
    </xf>
    <xf numFmtId="0" fontId="4" fillId="0" borderId="19" xfId="0" applyFont="1" applyBorder="1" applyAlignment="1" applyProtection="1">
      <alignment horizontal="left" vertical="center" wrapText="1" inden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horizontal="center" vertical="center"/>
      <protection locked="0"/>
    </xf>
    <xf numFmtId="165" fontId="8" fillId="5" borderId="16" xfId="0" applyNumberFormat="1" applyFont="1" applyFill="1" applyBorder="1" applyAlignment="1" applyProtection="1">
      <alignment horizontal="center" vertical="center"/>
      <protection locked="0"/>
    </xf>
    <xf numFmtId="165" fontId="8" fillId="5" borderId="17" xfId="0" applyNumberFormat="1" applyFont="1" applyFill="1" applyBorder="1" applyAlignment="1" applyProtection="1">
      <alignment horizontal="center" vertical="center"/>
      <protection locked="0"/>
    </xf>
    <xf numFmtId="165" fontId="8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7" borderId="27" xfId="0" applyFont="1" applyFill="1" applyBorder="1" applyAlignment="1" applyProtection="1">
      <alignment horizontal="right"/>
      <protection hidden="1"/>
    </xf>
    <xf numFmtId="0" fontId="7" fillId="7" borderId="0" xfId="0" applyFont="1" applyFill="1" applyAlignment="1" applyProtection="1">
      <alignment horizontal="right"/>
      <protection hidden="1"/>
    </xf>
    <xf numFmtId="1" fontId="34" fillId="7" borderId="0" xfId="0" applyNumberFormat="1" applyFont="1" applyFill="1" applyAlignment="1" applyProtection="1">
      <alignment horizontal="center"/>
      <protection locked="0"/>
    </xf>
    <xf numFmtId="1" fontId="34" fillId="7" borderId="12" xfId="0" applyNumberFormat="1" applyFont="1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left" indent="3"/>
      <protection hidden="1"/>
    </xf>
    <xf numFmtId="0" fontId="0" fillId="7" borderId="0" xfId="0" applyFill="1" applyBorder="1" applyAlignment="1" applyProtection="1">
      <alignment horizontal="left" indent="3"/>
      <protection hidden="1"/>
    </xf>
    <xf numFmtId="0" fontId="8" fillId="7" borderId="28" xfId="0" applyFont="1" applyFill="1" applyBorder="1" applyAlignment="1" applyProtection="1">
      <alignment horizontal="center" vertical="center"/>
      <protection hidden="1"/>
    </xf>
    <xf numFmtId="2" fontId="34" fillId="7" borderId="35" xfId="0" applyNumberFormat="1" applyFont="1" applyFill="1" applyBorder="1" applyAlignment="1" applyProtection="1">
      <alignment horizontal="center" vertical="center" shrinkToFit="1"/>
      <protection locked="0"/>
    </xf>
    <xf numFmtId="2" fontId="34" fillId="7" borderId="26" xfId="0" applyNumberFormat="1" applyFont="1" applyFill="1" applyBorder="1" applyAlignment="1" applyProtection="1">
      <alignment horizontal="center" vertical="center" shrinkToFit="1"/>
      <protection locked="0"/>
    </xf>
    <xf numFmtId="2" fontId="1" fillId="7" borderId="0" xfId="0" applyNumberFormat="1" applyFont="1" applyFill="1" applyAlignment="1" applyProtection="1">
      <alignment horizontal="center" shrinkToFit="1"/>
    </xf>
    <xf numFmtId="2" fontId="1" fillId="7" borderId="12" xfId="0" applyNumberFormat="1" applyFont="1" applyFill="1" applyBorder="1" applyAlignment="1" applyProtection="1">
      <alignment horizontal="center" shrinkToFit="1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3">
    <cellStyle name="Hyperlink" xfId="2" builtinId="8"/>
    <cellStyle name="Normal" xfId="0" builtinId="0"/>
    <cellStyle name="Normal 5" xfId="1" xr:uid="{D5D0B0E8-CB5E-4CDA-810A-C32B21B33F74}"/>
  </cellStyles>
  <dxfs count="3">
    <dxf>
      <fill>
        <patternFill>
          <bgColor rgb="FFFFC000"/>
        </patternFill>
      </fill>
    </dxf>
    <dxf>
      <font>
        <color rgb="FFFFFFCC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00"/>
      <color rgb="FFFF99CC"/>
      <color rgb="FF66CCFF"/>
      <color rgb="FFFF9999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31</xdr:row>
      <xdr:rowOff>9525</xdr:rowOff>
    </xdr:from>
    <xdr:ext cx="23333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60866D1-0131-4F48-BC1E-F75A815004D2}"/>
                </a:ext>
              </a:extLst>
            </xdr:cNvPr>
            <xdr:cNvSpPr txBox="1"/>
          </xdr:nvSpPr>
          <xdr:spPr>
            <a:xfrm>
              <a:off x="1409700" y="5772150"/>
              <a:ext cx="23333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̅"/>
                          <m:ctrlPr>
                            <a:rPr lang="en-GB" sz="11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GB" sz="11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𝜆</m:t>
                          </m:r>
                        </m:e>
                      </m:acc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𝐿𝑇</m:t>
                      </m:r>
                    </m:sub>
                  </m:sSub>
                </m:oMath>
              </a14:m>
              <a:r>
                <a:rPr lang="en-GB" sz="1100"/>
                <a:t> </a:t>
              </a: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E60866D1-0131-4F48-BC1E-F75A815004D2}"/>
                </a:ext>
              </a:extLst>
            </xdr:cNvPr>
            <xdr:cNvSpPr txBox="1"/>
          </xdr:nvSpPr>
          <xdr:spPr>
            <a:xfrm>
              <a:off x="1409700" y="5772150"/>
              <a:ext cx="23333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 ̅_</a:t>
              </a:r>
              <a:r>
                <a:rPr lang="en-US" sz="1100" b="0" i="0">
                  <a:latin typeface="Cambria Math" panose="02040503050406030204" pitchFamily="18" charset="0"/>
                </a:rPr>
                <a:t>𝐿𝑇</a:t>
              </a:r>
              <a:r>
                <a:rPr lang="en-GB" sz="1100"/>
                <a:t> </a:t>
              </a:r>
            </a:p>
          </xdr:txBody>
        </xdr:sp>
      </mc:Fallback>
    </mc:AlternateContent>
    <xdr:clientData/>
  </xdr:oneCellAnchor>
  <xdr:oneCellAnchor>
    <xdr:from>
      <xdr:col>9</xdr:col>
      <xdr:colOff>47625</xdr:colOff>
      <xdr:row>14</xdr:row>
      <xdr:rowOff>0</xdr:rowOff>
    </xdr:from>
    <xdr:ext cx="313997" cy="1844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4290C013-42E0-474B-9525-B03C40E40103}"/>
                </a:ext>
              </a:extLst>
            </xdr:cNvPr>
            <xdr:cNvSpPr txBox="1"/>
          </xdr:nvSpPr>
          <xdr:spPr>
            <a:xfrm>
              <a:off x="2781300" y="3228975"/>
              <a:ext cx="313997" cy="184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GB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acc>
                        <m:accPr>
                          <m:chr m:val="̅"/>
                          <m:ctrlPr>
                            <a:rPr lang="en-GB" sz="1100" i="1">
                              <a:latin typeface="Cambria Math" panose="02040503050406030204" pitchFamily="18" charset="0"/>
                            </a:rPr>
                          </m:ctrlPr>
                        </m:accPr>
                        <m:e>
                          <m:r>
                            <a:rPr lang="en-GB" sz="110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𝜆</m:t>
                          </m:r>
                        </m:e>
                      </m:acc>
                    </m:e>
                    <m:sub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𝐿𝑇</m:t>
                      </m:r>
                      <m:r>
                        <a:rPr lang="en-US" sz="1100" b="0" i="1">
                          <a:latin typeface="Cambria Math" panose="02040503050406030204" pitchFamily="18" charset="0"/>
                        </a:rPr>
                        <m:t>,0</m:t>
                      </m:r>
                    </m:sub>
                  </m:sSub>
                </m:oMath>
              </a14:m>
              <a:r>
                <a:rPr lang="en-GB" sz="1100"/>
                <a:t> 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4290C013-42E0-474B-9525-B03C40E40103}"/>
                </a:ext>
              </a:extLst>
            </xdr:cNvPr>
            <xdr:cNvSpPr txBox="1"/>
          </xdr:nvSpPr>
          <xdr:spPr>
            <a:xfrm>
              <a:off x="2781300" y="3228975"/>
              <a:ext cx="313997" cy="1844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 ̅_(</a:t>
              </a:r>
              <a:r>
                <a:rPr lang="en-US" sz="1100" b="0" i="0">
                  <a:latin typeface="Cambria Math" panose="02040503050406030204" pitchFamily="18" charset="0"/>
                </a:rPr>
                <a:t>𝐿𝑇,</a:t>
              </a:r>
              <a:r>
                <a:rPr lang="en-IE" sz="1100" b="0" i="0">
                  <a:latin typeface="Cambria Math" panose="02040503050406030204" pitchFamily="18" charset="0"/>
                </a:rPr>
                <a:t>0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/>
                <a:t> </a:t>
              </a:r>
            </a:p>
          </xdr:txBody>
        </xdr:sp>
      </mc:Fallback>
    </mc:AlternateContent>
    <xdr:clientData/>
  </xdr:oneCellAnchor>
  <xdr:twoCellAnchor>
    <xdr:from>
      <xdr:col>15</xdr:col>
      <xdr:colOff>80682</xdr:colOff>
      <xdr:row>28</xdr:row>
      <xdr:rowOff>197223</xdr:rowOff>
    </xdr:from>
    <xdr:to>
      <xdr:col>24</xdr:col>
      <xdr:colOff>510990</xdr:colOff>
      <xdr:row>40</xdr:row>
      <xdr:rowOff>158472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C47A940-004C-4BE6-95DE-369A7ED96315}"/>
            </a:ext>
          </a:extLst>
        </xdr:cNvPr>
        <xdr:cNvGrpSpPr/>
      </xdr:nvGrpSpPr>
      <xdr:grpSpPr>
        <a:xfrm>
          <a:off x="4775947" y="6450105"/>
          <a:ext cx="3691219" cy="2516191"/>
          <a:chOff x="2347002" y="1329971"/>
          <a:chExt cx="6896280" cy="4231240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E063448A-C751-4BA5-AE3E-CAD0A4C25230}"/>
              </a:ext>
            </a:extLst>
          </xdr:cNvPr>
          <xdr:cNvGrpSpPr/>
        </xdr:nvGrpSpPr>
        <xdr:grpSpPr>
          <a:xfrm>
            <a:off x="5167963" y="2941456"/>
            <a:ext cx="1132840" cy="975088"/>
            <a:chOff x="3578860" y="1171347"/>
            <a:chExt cx="1132840" cy="975088"/>
          </a:xfrm>
        </xdr:grpSpPr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AC6D4B7-2326-446C-8B24-9633DDD6B2D9}"/>
                </a:ext>
              </a:extLst>
            </xdr:cNvPr>
            <xdr:cNvCxnSpPr>
              <a:cxnSpLocks/>
            </xdr:cNvCxnSpPr>
          </xdr:nvCxnSpPr>
          <xdr:spPr>
            <a:xfrm>
              <a:off x="3657600" y="1633491"/>
              <a:ext cx="97536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BD1DA166-F026-401C-9F1D-0C3361C9ABB7}"/>
                </a:ext>
              </a:extLst>
            </xdr:cNvPr>
            <xdr:cNvCxnSpPr>
              <a:cxnSpLocks/>
            </xdr:cNvCxnSpPr>
          </xdr:nvCxnSpPr>
          <xdr:spPr>
            <a:xfrm>
              <a:off x="3578860" y="1171347"/>
              <a:ext cx="0" cy="975088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282AE218-94B0-4109-986E-2A302461737D}"/>
                </a:ext>
              </a:extLst>
            </xdr:cNvPr>
            <xdr:cNvCxnSpPr>
              <a:cxnSpLocks/>
            </xdr:cNvCxnSpPr>
          </xdr:nvCxnSpPr>
          <xdr:spPr>
            <a:xfrm>
              <a:off x="4711700" y="1171347"/>
              <a:ext cx="0" cy="975088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8E2ACBCC-90A3-4CFF-B5C2-C555E1F5A1B7}"/>
                </a:ext>
              </a:extLst>
            </xdr:cNvPr>
            <xdr:cNvCxnSpPr>
              <a:cxnSpLocks/>
            </xdr:cNvCxnSpPr>
          </xdr:nvCxnSpPr>
          <xdr:spPr>
            <a:xfrm>
              <a:off x="3657600" y="1684291"/>
              <a:ext cx="97536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B3BE30FE-0D00-41DE-8053-FA19CB69134D}"/>
                </a:ext>
              </a:extLst>
            </xdr:cNvPr>
            <xdr:cNvCxnSpPr>
              <a:cxnSpLocks/>
            </xdr:cNvCxnSpPr>
          </xdr:nvCxnSpPr>
          <xdr:spPr>
            <a:xfrm>
              <a:off x="4632960" y="1684291"/>
              <a:ext cx="0" cy="462144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15364614-7C09-48D4-8E82-051ECF502679}"/>
                </a:ext>
              </a:extLst>
            </xdr:cNvPr>
            <xdr:cNvCxnSpPr>
              <a:cxnSpLocks/>
            </xdr:cNvCxnSpPr>
          </xdr:nvCxnSpPr>
          <xdr:spPr>
            <a:xfrm>
              <a:off x="4634865" y="1171347"/>
              <a:ext cx="0" cy="462144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766407A2-E82A-4DAA-AA10-3FE566429F75}"/>
                </a:ext>
              </a:extLst>
            </xdr:cNvPr>
            <xdr:cNvCxnSpPr>
              <a:cxnSpLocks/>
            </xdr:cNvCxnSpPr>
          </xdr:nvCxnSpPr>
          <xdr:spPr>
            <a:xfrm>
              <a:off x="3659505" y="1171347"/>
              <a:ext cx="0" cy="462144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BF22BC6C-9C33-4E31-800A-25B749C3BADF}"/>
                </a:ext>
              </a:extLst>
            </xdr:cNvPr>
            <xdr:cNvCxnSpPr>
              <a:cxnSpLocks/>
            </xdr:cNvCxnSpPr>
          </xdr:nvCxnSpPr>
          <xdr:spPr>
            <a:xfrm>
              <a:off x="3657600" y="1684291"/>
              <a:ext cx="0" cy="462144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ED7AE178-C9FB-4044-9673-377E0633AC26}"/>
                </a:ext>
              </a:extLst>
            </xdr:cNvPr>
            <xdr:cNvCxnSpPr>
              <a:cxnSpLocks/>
            </xdr:cNvCxnSpPr>
          </xdr:nvCxnSpPr>
          <xdr:spPr>
            <a:xfrm>
              <a:off x="4632960" y="1171347"/>
              <a:ext cx="7874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682BF422-1465-4606-BCCF-3CF6596C64CB}"/>
                </a:ext>
              </a:extLst>
            </xdr:cNvPr>
            <xdr:cNvCxnSpPr>
              <a:cxnSpLocks/>
            </xdr:cNvCxnSpPr>
          </xdr:nvCxnSpPr>
          <xdr:spPr>
            <a:xfrm>
              <a:off x="4632960" y="2146435"/>
              <a:ext cx="7874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72101100-EB8D-4E3C-A5FD-95D305B00528}"/>
                </a:ext>
              </a:extLst>
            </xdr:cNvPr>
            <xdr:cNvCxnSpPr>
              <a:cxnSpLocks/>
            </xdr:cNvCxnSpPr>
          </xdr:nvCxnSpPr>
          <xdr:spPr>
            <a:xfrm>
              <a:off x="3578860" y="1171347"/>
              <a:ext cx="7874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FD629A47-A7BC-463C-A8DB-64D47F75AB49}"/>
                </a:ext>
              </a:extLst>
            </xdr:cNvPr>
            <xdr:cNvCxnSpPr>
              <a:cxnSpLocks/>
            </xdr:cNvCxnSpPr>
          </xdr:nvCxnSpPr>
          <xdr:spPr>
            <a:xfrm>
              <a:off x="3578860" y="2146435"/>
              <a:ext cx="78740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10C5E69B-8075-43A5-9406-F597ED2FECB6}"/>
              </a:ext>
            </a:extLst>
          </xdr:cNvPr>
          <xdr:cNvCxnSpPr>
            <a:cxnSpLocks/>
          </xdr:cNvCxnSpPr>
        </xdr:nvCxnSpPr>
        <xdr:spPr>
          <a:xfrm>
            <a:off x="5734383" y="1686756"/>
            <a:ext cx="0" cy="16200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DAD6B548-0DCF-4F8E-9734-5C54855AF5A9}"/>
              </a:ext>
            </a:extLst>
          </xdr:cNvPr>
          <xdr:cNvCxnSpPr>
            <a:cxnSpLocks/>
          </xdr:cNvCxnSpPr>
        </xdr:nvCxnSpPr>
        <xdr:spPr>
          <a:xfrm>
            <a:off x="5734383" y="3579180"/>
            <a:ext cx="0" cy="16200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C111CE8A-E974-4D91-AC0E-02414D282995}"/>
              </a:ext>
            </a:extLst>
          </xdr:cNvPr>
          <xdr:cNvCxnSpPr>
            <a:cxnSpLocks/>
          </xdr:cNvCxnSpPr>
        </xdr:nvCxnSpPr>
        <xdr:spPr>
          <a:xfrm flipH="1">
            <a:off x="6383931" y="3437631"/>
            <a:ext cx="1620000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CE72B7B3-F1EF-4691-BF82-DF8B42759AB9}"/>
              </a:ext>
            </a:extLst>
          </xdr:cNvPr>
          <xdr:cNvCxnSpPr>
            <a:cxnSpLocks/>
          </xdr:cNvCxnSpPr>
        </xdr:nvCxnSpPr>
        <xdr:spPr>
          <a:xfrm flipH="1">
            <a:off x="3420269" y="3437631"/>
            <a:ext cx="1620000" cy="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TextBox 36">
            <a:extLst>
              <a:ext uri="{FF2B5EF4-FFF2-40B4-BE49-F238E27FC236}">
                <a16:creationId xmlns:a16="http://schemas.microsoft.com/office/drawing/2014/main" id="{C9F1B8B3-0A22-470B-A93F-775A300A9D43}"/>
              </a:ext>
            </a:extLst>
          </xdr:cNvPr>
          <xdr:cNvSpPr txBox="1"/>
        </xdr:nvSpPr>
        <xdr:spPr>
          <a:xfrm>
            <a:off x="5132845" y="1329971"/>
            <a:ext cx="1331650" cy="466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Beam B</a:t>
            </a:r>
            <a:endParaRPr lang="en-GB" sz="1200"/>
          </a:p>
        </xdr:txBody>
      </xdr:sp>
      <xdr:sp macro="" textlink="">
        <xdr:nvSpPr>
          <xdr:cNvPr id="14" name="TextBox 38">
            <a:extLst>
              <a:ext uri="{FF2B5EF4-FFF2-40B4-BE49-F238E27FC236}">
                <a16:creationId xmlns:a16="http://schemas.microsoft.com/office/drawing/2014/main" id="{0EC368F3-D001-4050-891F-AECA4219A180}"/>
              </a:ext>
            </a:extLst>
          </xdr:cNvPr>
          <xdr:cNvSpPr txBox="1"/>
        </xdr:nvSpPr>
        <xdr:spPr>
          <a:xfrm>
            <a:off x="5132845" y="5095000"/>
            <a:ext cx="1331650" cy="466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Beam A</a:t>
            </a:r>
            <a:endParaRPr lang="en-GB" sz="1200"/>
          </a:p>
        </xdr:txBody>
      </xdr:sp>
      <xdr:sp macro="" textlink="">
        <xdr:nvSpPr>
          <xdr:cNvPr id="15" name="TextBox 39">
            <a:extLst>
              <a:ext uri="{FF2B5EF4-FFF2-40B4-BE49-F238E27FC236}">
                <a16:creationId xmlns:a16="http://schemas.microsoft.com/office/drawing/2014/main" id="{39C86021-836C-4A2C-B171-641E9DA4A78F}"/>
              </a:ext>
            </a:extLst>
          </xdr:cNvPr>
          <xdr:cNvSpPr txBox="1"/>
        </xdr:nvSpPr>
        <xdr:spPr>
          <a:xfrm>
            <a:off x="7911632" y="3193301"/>
            <a:ext cx="1331650" cy="466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Beam C</a:t>
            </a:r>
            <a:endParaRPr lang="en-GB" sz="1200"/>
          </a:p>
        </xdr:txBody>
      </xdr:sp>
      <xdr:sp macro="" textlink="">
        <xdr:nvSpPr>
          <xdr:cNvPr id="16" name="TextBox 40">
            <a:extLst>
              <a:ext uri="{FF2B5EF4-FFF2-40B4-BE49-F238E27FC236}">
                <a16:creationId xmlns:a16="http://schemas.microsoft.com/office/drawing/2014/main" id="{AF638654-FC73-4A32-8775-61CDDDB10B58}"/>
              </a:ext>
            </a:extLst>
          </xdr:cNvPr>
          <xdr:cNvSpPr txBox="1"/>
        </xdr:nvSpPr>
        <xdr:spPr>
          <a:xfrm>
            <a:off x="2347002" y="3199585"/>
            <a:ext cx="1331649" cy="466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/>
              <a:t>Beam D</a:t>
            </a:r>
            <a:endParaRPr lang="en-GB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A4400-790A-4BF5-9CAB-869F5E6FE4FF}">
  <dimension ref="A1:AU59"/>
  <sheetViews>
    <sheetView tabSelected="1" zoomScale="85" zoomScaleNormal="85" workbookViewId="0">
      <selection activeCell="C5" sqref="C5"/>
    </sheetView>
  </sheetViews>
  <sheetFormatPr defaultColWidth="9.140625" defaultRowHeight="15"/>
  <cols>
    <col min="1" max="1" width="2.7109375" style="15" customWidth="1"/>
    <col min="2" max="2" width="2" style="15" customWidth="1"/>
    <col min="3" max="3" width="9.85546875" style="15" customWidth="1"/>
    <col min="4" max="6" width="4.28515625" style="15" customWidth="1"/>
    <col min="7" max="7" width="6.42578125" style="15" customWidth="1"/>
    <col min="8" max="8" width="4.28515625" style="15" customWidth="1"/>
    <col min="9" max="9" width="2.85546875" style="15" customWidth="1"/>
    <col min="10" max="10" width="5.85546875" style="15" customWidth="1"/>
    <col min="11" max="11" width="5.42578125" style="15" customWidth="1"/>
    <col min="12" max="12" width="5.140625" style="15" customWidth="1"/>
    <col min="13" max="13" width="5.42578125" style="15" customWidth="1"/>
    <col min="14" max="14" width="3.140625" style="15" customWidth="1"/>
    <col min="15" max="15" width="4" style="15" bestFit="1" customWidth="1"/>
    <col min="16" max="16" width="3.85546875" style="15" customWidth="1"/>
    <col min="17" max="17" width="4" style="15" bestFit="1" customWidth="1"/>
    <col min="18" max="18" width="5" style="15" customWidth="1"/>
    <col min="19" max="19" width="5.42578125" style="15" customWidth="1"/>
    <col min="20" max="20" width="7.7109375" style="15" customWidth="1"/>
    <col min="21" max="21" width="6.28515625" style="15" customWidth="1"/>
    <col min="22" max="22" width="5.140625" style="15" customWidth="1"/>
    <col min="23" max="23" width="5.28515625" style="15" customWidth="1"/>
    <col min="24" max="24" width="6.28515625" style="15" customWidth="1"/>
    <col min="25" max="25" width="9.28515625" style="15" customWidth="1"/>
    <col min="26" max="26" width="2" style="15" customWidth="1"/>
    <col min="27" max="27" width="2.28515625" style="15" customWidth="1"/>
    <col min="28" max="28" width="9.140625" style="15" hidden="1" customWidth="1"/>
    <col min="29" max="29" width="10.42578125" style="15" hidden="1" customWidth="1"/>
    <col min="30" max="31" width="9.140625" style="15" hidden="1" customWidth="1"/>
    <col min="32" max="32" width="7" style="15" customWidth="1"/>
    <col min="33" max="33" width="11.140625" style="15" bestFit="1" customWidth="1"/>
    <col min="34" max="36" width="9.140625" style="15"/>
    <col min="37" max="37" width="12" style="15" bestFit="1" customWidth="1"/>
    <col min="38" max="16384" width="9.140625" style="15"/>
  </cols>
  <sheetData>
    <row r="1" spans="1:34" ht="15.75" thickBot="1">
      <c r="A1" s="13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14"/>
    </row>
    <row r="2" spans="1:34" ht="29.25" customHeight="1">
      <c r="A2" s="13"/>
      <c r="B2" s="16"/>
      <c r="C2" s="313" t="s">
        <v>183</v>
      </c>
      <c r="D2" s="282" t="s">
        <v>182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Q2" s="288" t="s">
        <v>85</v>
      </c>
      <c r="R2" s="289"/>
      <c r="S2" s="289"/>
      <c r="T2" s="289"/>
      <c r="U2" s="289"/>
      <c r="V2" s="17"/>
      <c r="W2" s="17"/>
      <c r="X2" s="18"/>
      <c r="Y2" s="18"/>
      <c r="Z2" s="19"/>
      <c r="AA2" s="20"/>
    </row>
    <row r="3" spans="1:34" ht="20.100000000000001" customHeight="1">
      <c r="A3" s="13"/>
      <c r="B3" s="21"/>
      <c r="C3" s="31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5"/>
      <c r="Q3" s="290"/>
      <c r="R3" s="291"/>
      <c r="S3" s="291"/>
      <c r="T3" s="291"/>
      <c r="U3" s="291"/>
      <c r="V3" s="250" t="s">
        <v>90</v>
      </c>
      <c r="W3" s="251"/>
      <c r="X3" s="292">
        <v>1</v>
      </c>
      <c r="Y3" s="293"/>
      <c r="Z3" s="294"/>
      <c r="AA3" s="20"/>
    </row>
    <row r="4" spans="1:34" ht="20.100000000000001" customHeight="1">
      <c r="A4" s="13"/>
      <c r="B4" s="22"/>
      <c r="C4" s="315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50" t="s">
        <v>89</v>
      </c>
      <c r="R4" s="247"/>
      <c r="S4" s="247"/>
      <c r="T4" s="292" t="s">
        <v>94</v>
      </c>
      <c r="U4" s="295"/>
      <c r="V4" s="250" t="s">
        <v>91</v>
      </c>
      <c r="W4" s="251"/>
      <c r="X4" s="296">
        <v>1</v>
      </c>
      <c r="Y4" s="297"/>
      <c r="Z4" s="298"/>
      <c r="AA4" s="20"/>
    </row>
    <row r="5" spans="1:34" ht="20.100000000000001" customHeight="1">
      <c r="A5" s="13"/>
      <c r="B5" s="23"/>
      <c r="C5" s="24" t="s">
        <v>86</v>
      </c>
      <c r="D5" s="242" t="s">
        <v>87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4"/>
      <c r="Q5" s="245" t="s">
        <v>88</v>
      </c>
      <c r="R5" s="246"/>
      <c r="S5" s="247"/>
      <c r="T5" s="248" t="s">
        <v>93</v>
      </c>
      <c r="U5" s="249"/>
      <c r="V5" s="250" t="s">
        <v>92</v>
      </c>
      <c r="W5" s="251"/>
      <c r="X5" s="252">
        <f ca="1">TODAY()</f>
        <v>44416</v>
      </c>
      <c r="Y5" s="253"/>
      <c r="Z5" s="254"/>
      <c r="AA5" s="25"/>
    </row>
    <row r="6" spans="1:34" ht="17.100000000000001" customHeight="1">
      <c r="A6" s="13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Z6" s="30"/>
      <c r="AA6" s="31"/>
      <c r="AF6" s="32"/>
      <c r="AG6" s="32"/>
      <c r="AH6" s="32"/>
    </row>
    <row r="7" spans="1:34" ht="17.100000000000001" customHeight="1">
      <c r="A7" s="13"/>
      <c r="B7" s="26"/>
      <c r="C7" s="215" t="s">
        <v>101</v>
      </c>
      <c r="D7" s="255"/>
      <c r="E7" s="255"/>
      <c r="F7" s="256"/>
      <c r="G7" s="33"/>
      <c r="H7" s="257" t="s">
        <v>99</v>
      </c>
      <c r="I7" s="216"/>
      <c r="J7" s="141"/>
      <c r="K7" s="141"/>
      <c r="L7" s="141"/>
      <c r="M7" s="141"/>
      <c r="N7" s="142"/>
      <c r="O7" s="34"/>
      <c r="P7" s="257" t="s">
        <v>102</v>
      </c>
      <c r="Q7" s="216"/>
      <c r="R7" s="216"/>
      <c r="S7" s="216"/>
      <c r="T7" s="216"/>
      <c r="U7" s="216"/>
      <c r="V7" s="216"/>
      <c r="W7" s="216"/>
      <c r="X7" s="216"/>
      <c r="Y7" s="258"/>
      <c r="Z7" s="30"/>
      <c r="AA7" s="31"/>
      <c r="AF7" s="234"/>
      <c r="AG7" s="234"/>
      <c r="AH7" s="32"/>
    </row>
    <row r="8" spans="1:34" ht="18.75">
      <c r="A8" s="13"/>
      <c r="B8" s="26"/>
      <c r="C8" s="235" t="s">
        <v>95</v>
      </c>
      <c r="D8" s="236"/>
      <c r="E8" s="237" t="s">
        <v>129</v>
      </c>
      <c r="F8" s="238"/>
      <c r="G8" s="33"/>
      <c r="H8" s="261" t="s">
        <v>77</v>
      </c>
      <c r="I8" s="262"/>
      <c r="J8" s="262"/>
      <c r="K8" s="262"/>
      <c r="L8" s="262"/>
      <c r="M8" s="262"/>
      <c r="N8" s="263"/>
      <c r="O8" s="35"/>
      <c r="P8" s="239" t="s">
        <v>1</v>
      </c>
      <c r="Q8" s="188"/>
      <c r="R8" s="113" t="s">
        <v>104</v>
      </c>
      <c r="S8" s="114">
        <f>INDEX(UC!$B$3:$B$48,MATCH('Main Page'!$H$8,UC!$A$3:$A$48,0))</f>
        <v>161.80000000000001</v>
      </c>
      <c r="T8" s="115" t="s">
        <v>26</v>
      </c>
      <c r="U8" s="114"/>
      <c r="V8" s="114" t="s">
        <v>109</v>
      </c>
      <c r="W8" s="116" t="s">
        <v>104</v>
      </c>
      <c r="X8" s="114">
        <f>INDEX(UC!$O$3:$O$48,MATCH('Main Page'!$H$8,UC!$A$3:$A$48,0))</f>
        <v>2210</v>
      </c>
      <c r="Y8" s="117" t="s">
        <v>120</v>
      </c>
      <c r="Z8" s="30"/>
      <c r="AA8" s="31"/>
      <c r="AF8" s="36"/>
      <c r="AG8" s="37"/>
      <c r="AH8" s="32"/>
    </row>
    <row r="9" spans="1:34" ht="17.100000000000001" customHeight="1">
      <c r="A9" s="13"/>
      <c r="B9" s="26"/>
      <c r="C9" s="240" t="s">
        <v>96</v>
      </c>
      <c r="D9" s="241"/>
      <c r="E9" s="259">
        <f>INDEX('Other tables'!J15:K15,MATCH('Main Page'!$E$8,'Other tables'!J12:K12,0))</f>
        <v>275</v>
      </c>
      <c r="F9" s="260"/>
      <c r="G9" s="33"/>
      <c r="H9" s="264"/>
      <c r="I9" s="265"/>
      <c r="J9" s="265"/>
      <c r="K9" s="265"/>
      <c r="L9" s="265"/>
      <c r="M9" s="265"/>
      <c r="N9" s="266"/>
      <c r="O9" s="35"/>
      <c r="P9" s="183" t="s">
        <v>2</v>
      </c>
      <c r="Q9" s="214"/>
      <c r="R9" s="118" t="s">
        <v>104</v>
      </c>
      <c r="S9" s="97">
        <f>INDEX(UC!$C$3:$C$48,MATCH('Main Page'!$H$8,UC!$A$3:$A$48,0))</f>
        <v>154.4</v>
      </c>
      <c r="T9" s="119" t="s">
        <v>26</v>
      </c>
      <c r="U9" s="97"/>
      <c r="V9" s="97" t="s">
        <v>110</v>
      </c>
      <c r="W9" s="120" t="s">
        <v>104</v>
      </c>
      <c r="X9" s="121">
        <f>INDEX(UC!$P$3:$P$48,MATCH('Main Page'!$H$8,UC!$A$3:$A$48,0))</f>
        <v>706</v>
      </c>
      <c r="Y9" s="122" t="s">
        <v>120</v>
      </c>
      <c r="Z9" s="30"/>
      <c r="AA9" s="31"/>
      <c r="AF9" s="36"/>
      <c r="AG9" s="38"/>
      <c r="AH9" s="32"/>
    </row>
    <row r="10" spans="1:34" ht="17.100000000000001" customHeight="1">
      <c r="A10" s="13"/>
      <c r="B10" s="26"/>
      <c r="C10" s="299" t="s">
        <v>97</v>
      </c>
      <c r="D10" s="300"/>
      <c r="E10" s="301">
        <v>210</v>
      </c>
      <c r="F10" s="302"/>
      <c r="G10" s="33"/>
      <c r="H10" s="267"/>
      <c r="I10" s="268"/>
      <c r="J10" s="268"/>
      <c r="K10" s="268"/>
      <c r="L10" s="268"/>
      <c r="M10" s="268"/>
      <c r="N10" s="269"/>
      <c r="O10" s="35"/>
      <c r="P10" s="183" t="s">
        <v>105</v>
      </c>
      <c r="Q10" s="214"/>
      <c r="R10" s="118" t="s">
        <v>104</v>
      </c>
      <c r="S10" s="97">
        <f>INDEX(UC!$D$3:$D$48,MATCH('Main Page'!$H$8,UC!$A$3:$A$48,0))</f>
        <v>8</v>
      </c>
      <c r="T10" s="119" t="s">
        <v>26</v>
      </c>
      <c r="U10" s="97"/>
      <c r="V10" s="97" t="s">
        <v>111</v>
      </c>
      <c r="W10" s="120" t="s">
        <v>104</v>
      </c>
      <c r="X10" s="97">
        <f>INDEX(UC!$Q$3:$Q$48,MATCH('Main Page'!$H$8,UC!$A$3:$A$48,0))</f>
        <v>6.85</v>
      </c>
      <c r="Y10" s="123" t="s">
        <v>30</v>
      </c>
      <c r="Z10" s="30"/>
      <c r="AA10" s="31"/>
      <c r="AF10" s="36"/>
      <c r="AG10" s="38"/>
      <c r="AH10" s="32"/>
    </row>
    <row r="11" spans="1:34" ht="17.100000000000001" customHeight="1">
      <c r="A11" s="13"/>
      <c r="B11" s="26"/>
      <c r="C11" s="303" t="s">
        <v>98</v>
      </c>
      <c r="D11" s="304"/>
      <c r="E11" s="227">
        <v>81</v>
      </c>
      <c r="F11" s="228"/>
      <c r="G11" s="33"/>
      <c r="H11" s="35"/>
      <c r="I11" s="35"/>
      <c r="J11" s="35"/>
      <c r="K11" s="35"/>
      <c r="L11" s="39"/>
      <c r="M11" s="35"/>
      <c r="N11" s="35"/>
      <c r="O11" s="35"/>
      <c r="P11" s="183" t="s">
        <v>106</v>
      </c>
      <c r="Q11" s="214"/>
      <c r="R11" s="118" t="s">
        <v>104</v>
      </c>
      <c r="S11" s="97">
        <f>INDEX(UC!$E$3:$E$48,MATCH('Main Page'!$H$8,UC!$A$3:$A$48,0))</f>
        <v>11.5</v>
      </c>
      <c r="T11" s="119" t="s">
        <v>26</v>
      </c>
      <c r="U11" s="97"/>
      <c r="V11" s="97" t="s">
        <v>112</v>
      </c>
      <c r="W11" s="120" t="s">
        <v>104</v>
      </c>
      <c r="X11" s="97">
        <f>INDEX(UC!$R$3:$R$48,MATCH('Main Page'!$H$8,UC!$A$3:$A$48,0))</f>
        <v>3.87</v>
      </c>
      <c r="Y11" s="123" t="s">
        <v>121</v>
      </c>
      <c r="Z11" s="30"/>
      <c r="AA11" s="31"/>
      <c r="AF11" s="36"/>
      <c r="AG11" s="38"/>
      <c r="AH11" s="32"/>
    </row>
    <row r="12" spans="1:34" ht="17.100000000000001" customHeight="1">
      <c r="A12" s="13"/>
      <c r="B12" s="26"/>
      <c r="C12" s="132" t="s">
        <v>174</v>
      </c>
      <c r="D12" s="100"/>
      <c r="E12" s="232">
        <v>30</v>
      </c>
      <c r="F12" s="233"/>
      <c r="G12" s="41"/>
      <c r="H12" s="222" t="s">
        <v>100</v>
      </c>
      <c r="I12" s="223"/>
      <c r="J12" s="223"/>
      <c r="K12" s="223"/>
      <c r="L12" s="223"/>
      <c r="M12" s="223"/>
      <c r="N12" s="224"/>
      <c r="O12" s="35"/>
      <c r="P12" s="183" t="s">
        <v>5</v>
      </c>
      <c r="Q12" s="214"/>
      <c r="R12" s="118" t="s">
        <v>104</v>
      </c>
      <c r="S12" s="97">
        <f>INDEX(UC!$F$3:$F$48,MATCH('Main Page'!$H$8,UC!$A$3:$A$48,0))</f>
        <v>7.6</v>
      </c>
      <c r="T12" s="119" t="s">
        <v>26</v>
      </c>
      <c r="U12" s="97"/>
      <c r="V12" s="97" t="s">
        <v>113</v>
      </c>
      <c r="W12" s="120" t="s">
        <v>104</v>
      </c>
      <c r="X12" s="97">
        <f>INDEX(UC!$S$3:$S$48,MATCH('Main Page'!$H$8,UC!$A$3:$A$48,0))</f>
        <v>273</v>
      </c>
      <c r="Y12" s="123" t="s">
        <v>122</v>
      </c>
      <c r="Z12" s="30"/>
      <c r="AA12" s="31"/>
      <c r="AC12" s="42"/>
      <c r="AF12" s="32"/>
      <c r="AG12" s="32"/>
      <c r="AH12" s="32"/>
    </row>
    <row r="13" spans="1:34" ht="17.100000000000001" customHeight="1">
      <c r="A13" s="13"/>
      <c r="B13" s="26"/>
      <c r="C13" s="40"/>
      <c r="D13" s="40"/>
      <c r="E13" s="40"/>
      <c r="F13" s="40"/>
      <c r="G13" s="41"/>
      <c r="H13" s="225" t="s">
        <v>82</v>
      </c>
      <c r="I13" s="226"/>
      <c r="J13" s="226"/>
      <c r="K13" s="226"/>
      <c r="L13" s="308">
        <f>INDEX('Other tables'!C3:E3,MATCH('Main Page'!H13,'Other tables'!C2:E2,0))</f>
        <v>0.85</v>
      </c>
      <c r="M13" s="308"/>
      <c r="N13" s="309"/>
      <c r="O13" s="35"/>
      <c r="P13" s="183" t="s">
        <v>6</v>
      </c>
      <c r="Q13" s="214"/>
      <c r="R13" s="118" t="s">
        <v>104</v>
      </c>
      <c r="S13" s="97">
        <f>INDEX(UC!$G$3:$G$48,MATCH('Main Page'!$H$8,UC!$A$3:$A$48,0))</f>
        <v>123.6</v>
      </c>
      <c r="T13" s="119" t="s">
        <v>26</v>
      </c>
      <c r="U13" s="97"/>
      <c r="V13" s="97" t="s">
        <v>114</v>
      </c>
      <c r="W13" s="120" t="s">
        <v>104</v>
      </c>
      <c r="X13" s="97">
        <f>INDEX(UC!$T$3:$T$48,MATCH('Main Page'!$H$8,UC!$A$3:$A$48,0))</f>
        <v>91.5</v>
      </c>
      <c r="Y13" s="123" t="s">
        <v>122</v>
      </c>
      <c r="Z13" s="30"/>
      <c r="AA13" s="31"/>
      <c r="AF13" s="32"/>
      <c r="AG13" s="32"/>
      <c r="AH13" s="32"/>
    </row>
    <row r="14" spans="1:34" ht="17.100000000000001" customHeight="1">
      <c r="A14" s="13"/>
      <c r="B14" s="26"/>
      <c r="C14" s="257" t="s">
        <v>125</v>
      </c>
      <c r="D14" s="305"/>
      <c r="E14" s="306">
        <v>4.5</v>
      </c>
      <c r="F14" s="307"/>
      <c r="G14" s="35"/>
      <c r="H14" s="270" t="s">
        <v>152</v>
      </c>
      <c r="I14" s="271"/>
      <c r="J14" s="271"/>
      <c r="K14" s="271"/>
      <c r="L14" s="227">
        <v>1</v>
      </c>
      <c r="M14" s="227"/>
      <c r="N14" s="228"/>
      <c r="O14" s="35"/>
      <c r="P14" s="183" t="s">
        <v>107</v>
      </c>
      <c r="Q14" s="214"/>
      <c r="R14" s="118" t="s">
        <v>104</v>
      </c>
      <c r="S14" s="97">
        <f>INDEX(UC!$H$3:$H$48,MATCH('Main Page'!$H$8,UC!$A$3:$A$48,0))</f>
        <v>15.5</v>
      </c>
      <c r="T14" s="119"/>
      <c r="U14" s="97"/>
      <c r="V14" s="97" t="s">
        <v>115</v>
      </c>
      <c r="W14" s="120" t="s">
        <v>104</v>
      </c>
      <c r="X14" s="97">
        <f>INDEX(UC!$U$3:$U$48,MATCH('Main Page'!$H$8,UC!$A$3:$A$48,0))</f>
        <v>309</v>
      </c>
      <c r="Y14" s="123" t="s">
        <v>122</v>
      </c>
      <c r="Z14" s="43"/>
      <c r="AA14" s="44"/>
    </row>
    <row r="15" spans="1:34" ht="17.100000000000001" customHeight="1">
      <c r="A15" s="13"/>
      <c r="B15" s="26"/>
      <c r="C15" s="272" t="s">
        <v>136</v>
      </c>
      <c r="D15" s="273"/>
      <c r="E15" s="276">
        <f>E14*L13</f>
        <v>3.8249999999999997</v>
      </c>
      <c r="F15" s="277"/>
      <c r="G15" s="35"/>
      <c r="H15" s="183"/>
      <c r="I15" s="161"/>
      <c r="J15" s="161"/>
      <c r="K15" s="161"/>
      <c r="L15" s="230">
        <v>0.4</v>
      </c>
      <c r="M15" s="230"/>
      <c r="N15" s="231"/>
      <c r="O15" s="35"/>
      <c r="P15" s="183" t="s">
        <v>108</v>
      </c>
      <c r="Q15" s="214"/>
      <c r="R15" s="118" t="s">
        <v>104</v>
      </c>
      <c r="S15" s="97">
        <f>INDEX(UC!$I$3:$I$48,MATCH('Main Page'!$H$8,UC!$A$3:$A$48,0))</f>
        <v>5.7</v>
      </c>
      <c r="T15" s="119"/>
      <c r="U15" s="97"/>
      <c r="V15" s="97" t="s">
        <v>116</v>
      </c>
      <c r="W15" s="120" t="s">
        <v>104</v>
      </c>
      <c r="X15" s="97">
        <f>INDEX(UC!$V$3:$V$48,MATCH('Main Page'!$H$8,UC!$A$3:$A$48,0))</f>
        <v>140</v>
      </c>
      <c r="Y15" s="123" t="s">
        <v>122</v>
      </c>
      <c r="Z15" s="43"/>
      <c r="AA15" s="44"/>
    </row>
    <row r="16" spans="1:34" ht="17.100000000000001" customHeight="1">
      <c r="A16" s="13"/>
      <c r="B16" s="26"/>
      <c r="C16" s="274" t="s">
        <v>137</v>
      </c>
      <c r="D16" s="275"/>
      <c r="E16" s="278">
        <f>L13*E14</f>
        <v>3.8249999999999997</v>
      </c>
      <c r="F16" s="279"/>
      <c r="G16" s="41"/>
      <c r="H16" s="229" t="s">
        <v>154</v>
      </c>
      <c r="I16" s="161"/>
      <c r="J16" s="161"/>
      <c r="K16" s="161"/>
      <c r="L16" s="230">
        <v>0.75</v>
      </c>
      <c r="M16" s="230"/>
      <c r="N16" s="231"/>
      <c r="O16" s="35"/>
      <c r="P16" s="183" t="s">
        <v>9</v>
      </c>
      <c r="Q16" s="214"/>
      <c r="R16" s="118" t="s">
        <v>104</v>
      </c>
      <c r="S16" s="97">
        <f>INDEX(UC!$J$3:$J$48,MATCH('Main Page'!$H$8,UC!$A$3:$A$48,0))</f>
        <v>6</v>
      </c>
      <c r="T16" s="119" t="s">
        <v>26</v>
      </c>
      <c r="U16" s="97"/>
      <c r="V16" s="97" t="s">
        <v>21</v>
      </c>
      <c r="W16" s="120" t="s">
        <v>104</v>
      </c>
      <c r="X16" s="97">
        <f>INDEX(UC!$W$3:$W$48,MATCH('Main Page'!$H$8,UC!$A$3:$A$48,0))</f>
        <v>0.84799999999999998</v>
      </c>
      <c r="Y16" s="123"/>
      <c r="Z16" s="43"/>
      <c r="AA16" s="44"/>
    </row>
    <row r="17" spans="1:41" ht="17.100000000000001" customHeight="1">
      <c r="A17" s="13"/>
      <c r="B17" s="26"/>
      <c r="C17" s="45"/>
      <c r="D17" s="45"/>
      <c r="E17" s="45"/>
      <c r="F17" s="45"/>
      <c r="G17" s="41"/>
      <c r="H17" s="221" t="s">
        <v>157</v>
      </c>
      <c r="I17" s="168"/>
      <c r="J17" s="168"/>
      <c r="K17" s="168"/>
      <c r="L17" s="232">
        <f>1</f>
        <v>1</v>
      </c>
      <c r="M17" s="232"/>
      <c r="N17" s="233"/>
      <c r="O17" s="35"/>
      <c r="P17" s="183" t="s">
        <v>10</v>
      </c>
      <c r="Q17" s="214"/>
      <c r="R17" s="124" t="s">
        <v>104</v>
      </c>
      <c r="S17" s="97">
        <f>INDEX(UC!$K$3:$K$48,MATCH('Main Page'!$H$8,UC!$A$3:$A$48,0))</f>
        <v>84</v>
      </c>
      <c r="T17" s="125" t="s">
        <v>26</v>
      </c>
      <c r="U17" s="97"/>
      <c r="V17" s="97" t="s">
        <v>22</v>
      </c>
      <c r="W17" s="120" t="s">
        <v>104</v>
      </c>
      <c r="X17" s="97">
        <f>INDEX(UC!$X$3:$X$48,MATCH('Main Page'!$H$8,UC!$A$3:$A$48,0))</f>
        <v>13.3</v>
      </c>
      <c r="Y17" s="98"/>
      <c r="Z17" s="43"/>
      <c r="AA17" s="44"/>
    </row>
    <row r="18" spans="1:41" ht="17.25" customHeight="1">
      <c r="A18" s="13"/>
      <c r="B18" s="26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6"/>
      <c r="P18" s="183" t="s">
        <v>11</v>
      </c>
      <c r="Q18" s="214"/>
      <c r="R18" s="118" t="s">
        <v>104</v>
      </c>
      <c r="S18" s="97">
        <f>INDEX(UC!$L$3:$L$48,MATCH('Main Page'!$H$8,UC!$A$3:$A$48,0))</f>
        <v>20</v>
      </c>
      <c r="T18" s="125" t="s">
        <v>26</v>
      </c>
      <c r="U18" s="97"/>
      <c r="V18" s="97" t="s">
        <v>117</v>
      </c>
      <c r="W18" s="120" t="s">
        <v>104</v>
      </c>
      <c r="X18" s="97">
        <f>INDEX(UC!$Y$3:$Y$48,MATCH('Main Page'!$H$8,UC!$A$3:$A$48,0))</f>
        <v>0.04</v>
      </c>
      <c r="Y18" s="123" t="s">
        <v>123</v>
      </c>
      <c r="Z18" s="43"/>
      <c r="AA18" s="44"/>
      <c r="AC18" s="13"/>
      <c r="AL18" s="87"/>
      <c r="AM18" s="87"/>
      <c r="AN18" s="87"/>
      <c r="AO18" s="87"/>
    </row>
    <row r="19" spans="1:41" ht="17.25" customHeight="1">
      <c r="A19" s="13"/>
      <c r="B19" s="26"/>
      <c r="C19" s="215" t="s">
        <v>103</v>
      </c>
      <c r="D19" s="141"/>
      <c r="E19" s="141"/>
      <c r="F19" s="141"/>
      <c r="G19" s="141"/>
      <c r="H19" s="141"/>
      <c r="I19" s="141"/>
      <c r="J19" s="216"/>
      <c r="K19" s="216"/>
      <c r="L19" s="216"/>
      <c r="M19" s="141"/>
      <c r="N19" s="142"/>
      <c r="O19" s="46"/>
      <c r="P19" s="183" t="s">
        <v>12</v>
      </c>
      <c r="Q19" s="214"/>
      <c r="R19" s="126" t="s">
        <v>104</v>
      </c>
      <c r="S19" s="97">
        <f>INDEX(UC!$M$3:$M$48,MATCH('Main Page'!$H$8,UC!$A$3:$A$48,0))</f>
        <v>0.91200000000000003</v>
      </c>
      <c r="T19" s="119" t="s">
        <v>119</v>
      </c>
      <c r="U19" s="127"/>
      <c r="V19" s="97" t="s">
        <v>118</v>
      </c>
      <c r="W19" s="128" t="s">
        <v>104</v>
      </c>
      <c r="X19" s="97">
        <f>INDEX(UC!$Z$3:$Z$48,MATCH('Main Page'!$H$8,UC!$A$3:$A$48,0))</f>
        <v>19.2</v>
      </c>
      <c r="Y19" s="123" t="s">
        <v>120</v>
      </c>
      <c r="Z19" s="43"/>
      <c r="AA19" s="44"/>
      <c r="AC19" s="47"/>
    </row>
    <row r="20" spans="1:41" ht="16.5" customHeight="1">
      <c r="A20" s="13"/>
      <c r="B20" s="48"/>
      <c r="C20" s="197" t="s">
        <v>162</v>
      </c>
      <c r="D20" s="198"/>
      <c r="E20" s="198"/>
      <c r="F20" s="198"/>
      <c r="G20" s="198"/>
      <c r="H20" s="198"/>
      <c r="I20" s="198"/>
      <c r="J20" s="194">
        <v>68.900000000000006</v>
      </c>
      <c r="K20" s="194"/>
      <c r="L20" s="194"/>
      <c r="M20" s="172" t="s">
        <v>133</v>
      </c>
      <c r="N20" s="173"/>
      <c r="O20" s="35"/>
      <c r="P20" s="147" t="s">
        <v>12</v>
      </c>
      <c r="Q20" s="148"/>
      <c r="R20" s="112" t="s">
        <v>104</v>
      </c>
      <c r="S20" s="100">
        <f>INDEX(UC!$N$3:$N$48,MATCH('Main Page'!$H$8,UC!$A$3:$A$48,0))</f>
        <v>24.6</v>
      </c>
      <c r="T20" s="129" t="s">
        <v>119</v>
      </c>
      <c r="U20" s="100"/>
      <c r="V20" s="100" t="s">
        <v>25</v>
      </c>
      <c r="W20" s="130" t="s">
        <v>104</v>
      </c>
      <c r="X20" s="100">
        <f>INDEX(UC!$AA$3:$AA$48,MATCH('Main Page'!$H$8,UC!$A$3:$A$48,0))</f>
        <v>47.1</v>
      </c>
      <c r="Y20" s="131" t="s">
        <v>124</v>
      </c>
      <c r="Z20" s="49"/>
      <c r="AA20" s="50"/>
    </row>
    <row r="21" spans="1:41" ht="17.100000000000001" customHeight="1">
      <c r="A21" s="13"/>
      <c r="B21" s="48"/>
      <c r="C21" s="183" t="s">
        <v>164</v>
      </c>
      <c r="D21" s="161"/>
      <c r="E21" s="161"/>
      <c r="F21" s="161"/>
      <c r="G21" s="161"/>
      <c r="H21" s="161"/>
      <c r="I21" s="161"/>
      <c r="J21" s="195">
        <v>47.3</v>
      </c>
      <c r="K21" s="195"/>
      <c r="L21" s="195"/>
      <c r="M21" s="170" t="s">
        <v>133</v>
      </c>
      <c r="N21" s="171"/>
      <c r="O21" s="35"/>
      <c r="P21" s="86"/>
      <c r="Q21" s="86"/>
      <c r="R21" s="86"/>
      <c r="S21" s="86"/>
      <c r="T21" s="86"/>
      <c r="U21" s="86"/>
      <c r="V21" s="86"/>
      <c r="W21" s="86"/>
      <c r="X21" s="86"/>
      <c r="Y21" s="88"/>
      <c r="Z21" s="51"/>
      <c r="AA21" s="52"/>
    </row>
    <row r="22" spans="1:41" ht="17.100000000000001" customHeight="1">
      <c r="A22" s="13"/>
      <c r="B22" s="48"/>
      <c r="C22" s="183" t="s">
        <v>163</v>
      </c>
      <c r="D22" s="161"/>
      <c r="E22" s="161"/>
      <c r="F22" s="161"/>
      <c r="G22" s="161"/>
      <c r="H22" s="161"/>
      <c r="I22" s="161"/>
      <c r="J22" s="195">
        <v>144.9</v>
      </c>
      <c r="K22" s="195"/>
      <c r="L22" s="195"/>
      <c r="M22" s="170" t="s">
        <v>133</v>
      </c>
      <c r="N22" s="171"/>
      <c r="O22" s="35"/>
      <c r="P22" s="208" t="s">
        <v>146</v>
      </c>
      <c r="Q22" s="209"/>
      <c r="R22" s="209"/>
      <c r="S22" s="209"/>
      <c r="T22" s="209"/>
      <c r="U22" s="209"/>
      <c r="V22" s="209"/>
      <c r="W22" s="209"/>
      <c r="X22" s="209"/>
      <c r="Y22" s="210"/>
      <c r="Z22" s="51"/>
      <c r="AA22" s="52"/>
      <c r="AC22" s="13"/>
    </row>
    <row r="23" spans="1:41" ht="17.100000000000001" customHeight="1">
      <c r="A23" s="13"/>
      <c r="B23" s="48"/>
      <c r="C23" s="183" t="s">
        <v>165</v>
      </c>
      <c r="D23" s="161"/>
      <c r="E23" s="161"/>
      <c r="F23" s="161"/>
      <c r="G23" s="161"/>
      <c r="H23" s="161"/>
      <c r="I23" s="161"/>
      <c r="J23" s="195">
        <v>0</v>
      </c>
      <c r="K23" s="195"/>
      <c r="L23" s="195"/>
      <c r="M23" s="170" t="s">
        <v>133</v>
      </c>
      <c r="N23" s="171"/>
      <c r="O23" s="35"/>
      <c r="P23" s="96"/>
      <c r="Q23" s="97"/>
      <c r="R23" s="97"/>
      <c r="S23" s="161" t="s">
        <v>172</v>
      </c>
      <c r="T23" s="161"/>
      <c r="U23" s="161"/>
      <c r="V23" s="161" t="s">
        <v>173</v>
      </c>
      <c r="W23" s="161"/>
      <c r="X23" s="161"/>
      <c r="Y23" s="98"/>
      <c r="Z23" s="51"/>
      <c r="AA23" s="52"/>
    </row>
    <row r="24" spans="1:41" ht="17.100000000000001" customHeight="1">
      <c r="A24" s="13"/>
      <c r="B24" s="48"/>
      <c r="C24" s="183" t="s">
        <v>167</v>
      </c>
      <c r="D24" s="161"/>
      <c r="E24" s="161"/>
      <c r="F24" s="161"/>
      <c r="G24" s="161"/>
      <c r="H24" s="161"/>
      <c r="I24" s="161"/>
      <c r="J24" s="195">
        <v>2.7</v>
      </c>
      <c r="K24" s="195"/>
      <c r="L24" s="195"/>
      <c r="M24" s="170" t="s">
        <v>133</v>
      </c>
      <c r="N24" s="171"/>
      <c r="O24" s="35"/>
      <c r="P24" s="211" t="s">
        <v>169</v>
      </c>
      <c r="Q24" s="212"/>
      <c r="R24" s="212"/>
      <c r="S24" s="212"/>
      <c r="T24" s="108">
        <f>MIN(K46,K51)</f>
        <v>602.77046511627918</v>
      </c>
      <c r="U24" s="109" t="str">
        <f>IF(T24&gt;V24,"&gt;","&lt;")</f>
        <v>&gt;</v>
      </c>
      <c r="V24" s="213">
        <f>J25</f>
        <v>263.8</v>
      </c>
      <c r="W24" s="213"/>
      <c r="X24" s="159" t="str">
        <f>IF(T24&gt;V24,"Accept","Not Okay")</f>
        <v>Accept</v>
      </c>
      <c r="Y24" s="160"/>
      <c r="Z24" s="53"/>
    </row>
    <row r="25" spans="1:41" ht="17.100000000000001" customHeight="1">
      <c r="A25" s="13"/>
      <c r="B25" s="48"/>
      <c r="C25" s="147" t="s">
        <v>166</v>
      </c>
      <c r="D25" s="148"/>
      <c r="E25" s="148"/>
      <c r="F25" s="148"/>
      <c r="G25" s="148"/>
      <c r="H25" s="148"/>
      <c r="I25" s="148"/>
      <c r="J25" s="196">
        <f>SUM(J20:J24)</f>
        <v>263.8</v>
      </c>
      <c r="K25" s="196"/>
      <c r="L25" s="196"/>
      <c r="M25" s="168" t="s">
        <v>133</v>
      </c>
      <c r="N25" s="169"/>
      <c r="O25" s="35"/>
      <c r="P25" s="211" t="s">
        <v>170</v>
      </c>
      <c r="Q25" s="212"/>
      <c r="R25" s="212"/>
      <c r="S25" s="212"/>
      <c r="T25" s="110">
        <f>K36</f>
        <v>71.103278004734278</v>
      </c>
      <c r="U25" s="109" t="str">
        <f t="shared" ref="U25:U26" si="0">IF(T25&gt;V25,"&gt;","&lt;")</f>
        <v>&gt;</v>
      </c>
      <c r="V25" s="219">
        <f>K29</f>
        <v>26.212410000000002</v>
      </c>
      <c r="W25" s="219"/>
      <c r="X25" s="159" t="str">
        <f t="shared" ref="X25:X26" si="1">IF(T25&gt;V25,"Accept","Not Okay")</f>
        <v>Accept</v>
      </c>
      <c r="Y25" s="160"/>
      <c r="Z25" s="53"/>
    </row>
    <row r="26" spans="1:41" ht="17.100000000000001" customHeight="1">
      <c r="A26" s="13"/>
      <c r="B26" s="4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35"/>
      <c r="P26" s="211" t="s">
        <v>171</v>
      </c>
      <c r="Q26" s="212"/>
      <c r="R26" s="212"/>
      <c r="S26" s="212"/>
      <c r="T26" s="110">
        <f>K41</f>
        <v>38.5</v>
      </c>
      <c r="U26" s="109" t="str">
        <f t="shared" si="0"/>
        <v>&gt;</v>
      </c>
      <c r="V26" s="220">
        <f>K40</f>
        <v>2.2464000000000004</v>
      </c>
      <c r="W26" s="220"/>
      <c r="X26" s="159" t="str">
        <f t="shared" si="1"/>
        <v>Accept</v>
      </c>
      <c r="Y26" s="160"/>
      <c r="Z26" s="53"/>
      <c r="AC26" s="47"/>
    </row>
    <row r="27" spans="1:41" ht="17.100000000000001" customHeight="1">
      <c r="A27" s="13"/>
      <c r="B27" s="48"/>
      <c r="C27" s="217" t="s">
        <v>126</v>
      </c>
      <c r="D27" s="218"/>
      <c r="E27" s="218"/>
      <c r="F27" s="218"/>
      <c r="G27" s="218"/>
      <c r="H27" s="218"/>
      <c r="I27" s="189" t="s">
        <v>147</v>
      </c>
      <c r="J27" s="189"/>
      <c r="K27" s="189"/>
      <c r="L27" s="189"/>
      <c r="M27" s="189"/>
      <c r="N27" s="190"/>
      <c r="O27" s="35"/>
      <c r="P27" s="176" t="s">
        <v>179</v>
      </c>
      <c r="Q27" s="177"/>
      <c r="R27" s="177"/>
      <c r="S27" s="177"/>
      <c r="T27" s="111" t="s">
        <v>177</v>
      </c>
      <c r="U27" s="112" t="s">
        <v>104</v>
      </c>
      <c r="V27" s="178">
        <f>W46</f>
        <v>7.2584043958217741</v>
      </c>
      <c r="W27" s="178"/>
      <c r="X27" s="139" t="s">
        <v>26</v>
      </c>
      <c r="Y27" s="140"/>
      <c r="Z27" s="53"/>
      <c r="AJ27" s="207"/>
      <c r="AK27" s="207"/>
      <c r="AL27" s="207"/>
      <c r="AM27" s="207"/>
    </row>
    <row r="28" spans="1:41" ht="17.100000000000001" customHeight="1">
      <c r="A28" s="13"/>
      <c r="B28" s="48"/>
      <c r="C28" s="184" t="s">
        <v>148</v>
      </c>
      <c r="D28" s="172"/>
      <c r="E28" s="172"/>
      <c r="F28" s="172"/>
      <c r="G28" s="172"/>
      <c r="H28" s="172"/>
      <c r="I28" s="172"/>
      <c r="J28" s="97" t="s">
        <v>104</v>
      </c>
      <c r="K28" s="193">
        <f>S8/2+100</f>
        <v>180.9</v>
      </c>
      <c r="L28" s="193"/>
      <c r="M28" s="133" t="s">
        <v>26</v>
      </c>
      <c r="N28" s="134"/>
      <c r="O28" s="35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53"/>
    </row>
    <row r="29" spans="1:41" ht="17.100000000000001" customHeight="1">
      <c r="A29" s="13"/>
      <c r="B29" s="48"/>
      <c r="C29" s="183" t="s">
        <v>149</v>
      </c>
      <c r="D29" s="161"/>
      <c r="E29" s="161"/>
      <c r="F29" s="161"/>
      <c r="G29" s="161"/>
      <c r="H29" s="161"/>
      <c r="I29" s="161"/>
      <c r="J29" s="97" t="s">
        <v>104</v>
      </c>
      <c r="K29" s="182">
        <f>ABS((J22*K28/1000)-(J23*K28/1000))</f>
        <v>26.212410000000002</v>
      </c>
      <c r="L29" s="182"/>
      <c r="M29" s="170" t="s">
        <v>150</v>
      </c>
      <c r="N29" s="171"/>
      <c r="O29" s="54"/>
      <c r="P29" s="156" t="s">
        <v>180</v>
      </c>
      <c r="Q29" s="157"/>
      <c r="R29" s="157"/>
      <c r="S29" s="157"/>
      <c r="T29" s="157"/>
      <c r="U29" s="157"/>
      <c r="V29" s="157"/>
      <c r="W29" s="157"/>
      <c r="X29" s="157"/>
      <c r="Y29" s="158"/>
      <c r="Z29" s="53"/>
    </row>
    <row r="30" spans="1:41" ht="17.100000000000001" customHeight="1">
      <c r="A30" s="13"/>
      <c r="B30" s="48"/>
      <c r="C30" s="183" t="s">
        <v>151</v>
      </c>
      <c r="D30" s="161"/>
      <c r="E30" s="161"/>
      <c r="F30" s="161"/>
      <c r="G30" s="161"/>
      <c r="H30" s="161"/>
      <c r="I30" s="161"/>
      <c r="J30" s="97" t="s">
        <v>104</v>
      </c>
      <c r="K30" s="182">
        <f>((1*((PI()^2*(E10*10^3)*(X9*10^4))/(E15*1000)^2))*(SQRT(((X18*10^12)/(X9*10^4))+(((E15*1000)^2*(E11*10^3)*(X19*10^4))/(PI()^2*(E10*10^3)*(X9*10^4))))))/1000000</f>
        <v>145.67597678105457</v>
      </c>
      <c r="L30" s="182"/>
      <c r="M30" s="170" t="s">
        <v>150</v>
      </c>
      <c r="N30" s="171"/>
      <c r="O30" s="35"/>
      <c r="P30" s="152"/>
      <c r="Q30" s="153"/>
      <c r="R30" s="153"/>
      <c r="S30" s="153"/>
      <c r="T30" s="94"/>
      <c r="U30" s="154"/>
      <c r="V30" s="154"/>
      <c r="W30" s="154"/>
      <c r="X30" s="94"/>
      <c r="Y30" s="155"/>
      <c r="Z30" s="53"/>
    </row>
    <row r="31" spans="1:41" ht="17.100000000000001" customHeight="1">
      <c r="A31" s="13"/>
      <c r="B31" s="48"/>
      <c r="C31" s="183" t="s">
        <v>153</v>
      </c>
      <c r="D31" s="161"/>
      <c r="E31" s="161"/>
      <c r="F31" s="161"/>
      <c r="G31" s="161"/>
      <c r="H31" s="161"/>
      <c r="I31" s="161"/>
      <c r="J31" s="97" t="s">
        <v>104</v>
      </c>
      <c r="K31" s="182">
        <f>E9*X14/1000</f>
        <v>84.974999999999994</v>
      </c>
      <c r="L31" s="182"/>
      <c r="M31" s="170" t="s">
        <v>150</v>
      </c>
      <c r="N31" s="171"/>
      <c r="O31" s="35"/>
      <c r="P31" s="152"/>
      <c r="Q31" s="153"/>
      <c r="R31" s="153"/>
      <c r="S31" s="153"/>
      <c r="T31" s="94"/>
      <c r="U31" s="154"/>
      <c r="V31" s="154"/>
      <c r="W31" s="154"/>
      <c r="X31" s="94"/>
      <c r="Y31" s="155"/>
      <c r="Z31" s="53"/>
      <c r="AD31" s="55"/>
    </row>
    <row r="32" spans="1:41" ht="17.100000000000001" customHeight="1">
      <c r="A32" s="13"/>
      <c r="B32" s="48"/>
      <c r="C32" s="183"/>
      <c r="D32" s="161"/>
      <c r="E32" s="161"/>
      <c r="F32" s="161"/>
      <c r="G32" s="161"/>
      <c r="H32" s="161"/>
      <c r="I32" s="161"/>
      <c r="J32" s="97" t="s">
        <v>104</v>
      </c>
      <c r="K32" s="182">
        <f>SQRT(K31/K30)</f>
        <v>0.76375069285942687</v>
      </c>
      <c r="L32" s="182"/>
      <c r="M32" s="170"/>
      <c r="N32" s="171"/>
      <c r="O32" s="54"/>
      <c r="P32" s="152"/>
      <c r="Q32" s="153"/>
      <c r="R32" s="153"/>
      <c r="S32" s="153"/>
      <c r="T32" s="94"/>
      <c r="U32" s="154"/>
      <c r="V32" s="154"/>
      <c r="W32" s="154"/>
      <c r="X32" s="94"/>
      <c r="Y32" s="95"/>
      <c r="Z32" s="53"/>
      <c r="AD32" s="56"/>
      <c r="AE32" s="57"/>
    </row>
    <row r="33" spans="1:31" ht="17.100000000000001" customHeight="1">
      <c r="A33" s="13"/>
      <c r="B33" s="48"/>
      <c r="C33" s="183" t="s">
        <v>155</v>
      </c>
      <c r="D33" s="161"/>
      <c r="E33" s="161"/>
      <c r="F33" s="161"/>
      <c r="G33" s="161"/>
      <c r="H33" s="161"/>
      <c r="I33" s="161"/>
      <c r="J33" s="97" t="s">
        <v>104</v>
      </c>
      <c r="K33" s="182">
        <f>0.5*(1+'Other tables'!H21*('Main Page'!K32-'Main Page'!L15)+('Main Page'!L16*K32^2))</f>
        <v>0.78058078810232301</v>
      </c>
      <c r="L33" s="182"/>
      <c r="M33" s="170"/>
      <c r="N33" s="171"/>
      <c r="O33" s="35"/>
      <c r="P33" s="96"/>
      <c r="Q33" s="97"/>
      <c r="R33" s="97"/>
      <c r="S33" s="97"/>
      <c r="T33" s="97"/>
      <c r="U33" s="97"/>
      <c r="V33" s="97"/>
      <c r="W33" s="97"/>
      <c r="X33" s="97"/>
      <c r="Y33" s="98"/>
      <c r="Z33" s="53"/>
      <c r="AE33" s="58"/>
    </row>
    <row r="34" spans="1:31" ht="17.100000000000001" customHeight="1">
      <c r="A34" s="13"/>
      <c r="B34" s="48"/>
      <c r="C34" s="183" t="s">
        <v>156</v>
      </c>
      <c r="D34" s="161"/>
      <c r="E34" s="161"/>
      <c r="F34" s="161"/>
      <c r="G34" s="161"/>
      <c r="H34" s="161"/>
      <c r="I34" s="161"/>
      <c r="J34" s="97" t="s">
        <v>104</v>
      </c>
      <c r="K34" s="182">
        <f>(1)/(K33+SQRT(K33^2-(L16*K32^2)))</f>
        <v>0.8367552574843693</v>
      </c>
      <c r="L34" s="182"/>
      <c r="M34" s="170" t="str">
        <f>IF(K34&gt;1,"Not Accept","Accept")</f>
        <v>Accept</v>
      </c>
      <c r="N34" s="171"/>
      <c r="O34" s="35"/>
      <c r="P34" s="96"/>
      <c r="Q34" s="97"/>
      <c r="R34" s="97"/>
      <c r="S34" s="97"/>
      <c r="T34" s="97"/>
      <c r="U34" s="97"/>
      <c r="V34" s="97"/>
      <c r="W34" s="97"/>
      <c r="X34" s="97"/>
      <c r="Y34" s="98"/>
      <c r="Z34" s="53"/>
      <c r="AC34" s="55"/>
    </row>
    <row r="35" spans="1:31" ht="17.100000000000001" customHeight="1">
      <c r="A35" s="13"/>
      <c r="B35" s="48"/>
      <c r="C35" s="183" t="s">
        <v>158</v>
      </c>
      <c r="D35" s="161"/>
      <c r="E35" s="161"/>
      <c r="F35" s="161"/>
      <c r="G35" s="161"/>
      <c r="H35" s="161"/>
      <c r="I35" s="161"/>
      <c r="J35" s="97" t="s">
        <v>104</v>
      </c>
      <c r="K35" s="182">
        <f>K34/L17</f>
        <v>0.8367552574843693</v>
      </c>
      <c r="L35" s="182"/>
      <c r="M35" s="170"/>
      <c r="N35" s="171"/>
      <c r="O35" s="35"/>
      <c r="P35" s="96"/>
      <c r="Q35" s="97"/>
      <c r="R35" s="97"/>
      <c r="S35" s="97"/>
      <c r="T35" s="97"/>
      <c r="U35" s="97"/>
      <c r="V35" s="97"/>
      <c r="W35" s="97"/>
      <c r="X35" s="97"/>
      <c r="Y35" s="98"/>
      <c r="Z35" s="53"/>
    </row>
    <row r="36" spans="1:31" ht="17.100000000000001" customHeight="1">
      <c r="A36" s="13"/>
      <c r="B36" s="48"/>
      <c r="C36" s="147" t="s">
        <v>159</v>
      </c>
      <c r="D36" s="148"/>
      <c r="E36" s="148"/>
      <c r="F36" s="148"/>
      <c r="G36" s="148"/>
      <c r="H36" s="148"/>
      <c r="I36" s="148"/>
      <c r="J36" s="100" t="s">
        <v>104</v>
      </c>
      <c r="K36" s="186">
        <f>K35*E9*X14*10^2/100000</f>
        <v>71.103278004734278</v>
      </c>
      <c r="L36" s="186"/>
      <c r="M36" s="168" t="s">
        <v>150</v>
      </c>
      <c r="N36" s="169"/>
      <c r="O36" s="35"/>
      <c r="P36" s="96"/>
      <c r="Q36" s="97"/>
      <c r="R36" s="97"/>
      <c r="S36" s="97"/>
      <c r="T36" s="97"/>
      <c r="U36" s="97"/>
      <c r="V36" s="97"/>
      <c r="W36" s="97"/>
      <c r="X36" s="97"/>
      <c r="Y36" s="98"/>
      <c r="Z36" s="53"/>
    </row>
    <row r="37" spans="1:31" ht="17.100000000000001" customHeight="1">
      <c r="A37" s="13"/>
      <c r="B37" s="48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5"/>
      <c r="P37" s="96"/>
      <c r="Q37" s="97"/>
      <c r="R37" s="97"/>
      <c r="S37" s="97"/>
      <c r="T37" s="97"/>
      <c r="U37" s="97"/>
      <c r="V37" s="97"/>
      <c r="W37" s="97"/>
      <c r="X37" s="97"/>
      <c r="Y37" s="98"/>
      <c r="Z37" s="53"/>
    </row>
    <row r="38" spans="1:31" ht="17.100000000000001" customHeight="1">
      <c r="A38" s="13"/>
      <c r="B38" s="48"/>
      <c r="C38" s="191" t="s">
        <v>126</v>
      </c>
      <c r="D38" s="192"/>
      <c r="E38" s="192"/>
      <c r="F38" s="192"/>
      <c r="G38" s="192"/>
      <c r="H38" s="192"/>
      <c r="I38" s="189" t="s">
        <v>160</v>
      </c>
      <c r="J38" s="189"/>
      <c r="K38" s="189"/>
      <c r="L38" s="189"/>
      <c r="M38" s="189"/>
      <c r="N38" s="190"/>
      <c r="O38" s="35"/>
      <c r="P38" s="96"/>
      <c r="Q38" s="97"/>
      <c r="R38" s="97"/>
      <c r="S38" s="97"/>
      <c r="T38" s="97"/>
      <c r="U38" s="97"/>
      <c r="V38" s="97"/>
      <c r="W38" s="97"/>
      <c r="X38" s="97"/>
      <c r="Y38" s="98"/>
      <c r="Z38" s="53"/>
    </row>
    <row r="39" spans="1:31" ht="17.100000000000001" customHeight="1">
      <c r="A39" s="13"/>
      <c r="B39" s="48"/>
      <c r="C39" s="184" t="s">
        <v>148</v>
      </c>
      <c r="D39" s="172"/>
      <c r="E39" s="172"/>
      <c r="F39" s="172"/>
      <c r="G39" s="172"/>
      <c r="H39" s="172"/>
      <c r="I39" s="172"/>
      <c r="J39" s="97" t="s">
        <v>104</v>
      </c>
      <c r="K39" s="188">
        <f>S10/2+100</f>
        <v>104</v>
      </c>
      <c r="L39" s="188"/>
      <c r="M39" s="172" t="s">
        <v>26</v>
      </c>
      <c r="N39" s="173"/>
      <c r="O39" s="86"/>
      <c r="P39" s="96"/>
      <c r="Q39" s="97"/>
      <c r="R39" s="97"/>
      <c r="S39" s="97"/>
      <c r="T39" s="97"/>
      <c r="U39" s="97"/>
      <c r="V39" s="97"/>
      <c r="W39" s="97"/>
      <c r="X39" s="97"/>
      <c r="Y39" s="98"/>
      <c r="Z39" s="53"/>
    </row>
    <row r="40" spans="1:31" ht="17.100000000000001" customHeight="1">
      <c r="A40" s="13"/>
      <c r="B40" s="48"/>
      <c r="C40" s="183" t="s">
        <v>161</v>
      </c>
      <c r="D40" s="161"/>
      <c r="E40" s="161"/>
      <c r="F40" s="161"/>
      <c r="G40" s="161"/>
      <c r="H40" s="161"/>
      <c r="I40" s="161"/>
      <c r="J40" s="97" t="s">
        <v>104</v>
      </c>
      <c r="K40" s="185">
        <f>ABS((J20*K39/1000)-(J21*K39/1000))</f>
        <v>2.2464000000000004</v>
      </c>
      <c r="L40" s="185"/>
      <c r="M40" s="170" t="s">
        <v>150</v>
      </c>
      <c r="N40" s="171"/>
      <c r="O40" s="86"/>
      <c r="P40" s="96"/>
      <c r="Q40" s="97"/>
      <c r="R40" s="97"/>
      <c r="S40" s="97"/>
      <c r="T40" s="97"/>
      <c r="U40" s="97"/>
      <c r="V40" s="97"/>
      <c r="W40" s="97"/>
      <c r="X40" s="97"/>
      <c r="Y40" s="98"/>
      <c r="Z40" s="53"/>
      <c r="AC40" s="59"/>
    </row>
    <row r="41" spans="1:31" ht="17.100000000000001" customHeight="1">
      <c r="A41" s="13"/>
      <c r="B41" s="48"/>
      <c r="C41" s="187" t="s">
        <v>168</v>
      </c>
      <c r="D41" s="168"/>
      <c r="E41" s="168"/>
      <c r="F41" s="168"/>
      <c r="G41" s="168"/>
      <c r="H41" s="168"/>
      <c r="I41" s="168"/>
      <c r="J41" s="100" t="s">
        <v>104</v>
      </c>
      <c r="K41" s="148">
        <f>E9*X15/1000</f>
        <v>38.5</v>
      </c>
      <c r="L41" s="148"/>
      <c r="M41" s="168" t="s">
        <v>150</v>
      </c>
      <c r="N41" s="169"/>
      <c r="O41" s="86"/>
      <c r="P41" s="99"/>
      <c r="Q41" s="100"/>
      <c r="R41" s="100"/>
      <c r="S41" s="100"/>
      <c r="T41" s="100"/>
      <c r="U41" s="100"/>
      <c r="V41" s="100"/>
      <c r="W41" s="100"/>
      <c r="X41" s="100"/>
      <c r="Y41" s="101"/>
      <c r="Z41" s="53"/>
      <c r="AC41" s="59"/>
    </row>
    <row r="42" spans="1:31" ht="17.100000000000001" customHeight="1">
      <c r="A42" s="13"/>
      <c r="B42" s="48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86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53"/>
    </row>
    <row r="43" spans="1:31" ht="17.100000000000001" customHeight="1">
      <c r="A43" s="13"/>
      <c r="B43" s="48"/>
      <c r="C43" s="174" t="s">
        <v>126</v>
      </c>
      <c r="D43" s="175"/>
      <c r="E43" s="175"/>
      <c r="F43" s="175"/>
      <c r="G43" s="175"/>
      <c r="H43" s="175"/>
      <c r="I43" s="141" t="s">
        <v>139</v>
      </c>
      <c r="J43" s="141"/>
      <c r="K43" s="141"/>
      <c r="L43" s="141"/>
      <c r="M43" s="141"/>
      <c r="N43" s="142"/>
      <c r="O43" s="86"/>
      <c r="P43" s="174" t="s">
        <v>126</v>
      </c>
      <c r="Q43" s="175"/>
      <c r="R43" s="175"/>
      <c r="S43" s="175"/>
      <c r="T43" s="175"/>
      <c r="U43" s="175"/>
      <c r="V43" s="141" t="s">
        <v>181</v>
      </c>
      <c r="W43" s="141"/>
      <c r="X43" s="141"/>
      <c r="Y43" s="142"/>
      <c r="Z43" s="90"/>
      <c r="AA43" s="92"/>
      <c r="AC43" s="60"/>
    </row>
    <row r="44" spans="1:31" ht="17.100000000000001" customHeight="1">
      <c r="A44" s="13"/>
      <c r="B44" s="48"/>
      <c r="C44" s="180" t="s">
        <v>140</v>
      </c>
      <c r="D44" s="181"/>
      <c r="E44" s="181"/>
      <c r="F44" s="181"/>
      <c r="G44" s="181"/>
      <c r="H44" s="181"/>
      <c r="I44" s="181"/>
      <c r="J44" s="135" t="s">
        <v>104</v>
      </c>
      <c r="K44" s="151">
        <f>(E15*1000)/(X10*10)</f>
        <v>55.839416058394157</v>
      </c>
      <c r="L44" s="151"/>
      <c r="M44" s="166" t="s">
        <v>142</v>
      </c>
      <c r="N44" s="167"/>
      <c r="O44" s="86"/>
      <c r="P44" s="143" t="s">
        <v>175</v>
      </c>
      <c r="Q44" s="144"/>
      <c r="R44" s="144"/>
      <c r="S44" s="144"/>
      <c r="T44" s="144"/>
      <c r="U44" s="144"/>
      <c r="V44" s="102" t="s">
        <v>104</v>
      </c>
      <c r="W44" s="151">
        <f>0.67*E12</f>
        <v>20.100000000000001</v>
      </c>
      <c r="X44" s="151"/>
      <c r="Y44" s="103" t="s">
        <v>178</v>
      </c>
      <c r="Z44" s="91"/>
      <c r="AA44" s="93"/>
    </row>
    <row r="45" spans="1:31" ht="17.100000000000001" customHeight="1">
      <c r="A45" s="13"/>
      <c r="B45" s="48"/>
      <c r="C45" s="145" t="s">
        <v>141</v>
      </c>
      <c r="D45" s="146"/>
      <c r="E45" s="146"/>
      <c r="F45" s="146"/>
      <c r="G45" s="146"/>
      <c r="H45" s="146"/>
      <c r="I45" s="146"/>
      <c r="J45" s="136" t="s">
        <v>104</v>
      </c>
      <c r="K45" s="179">
        <f>'Frd tables'!O20</f>
        <v>223.65693430656933</v>
      </c>
      <c r="L45" s="179"/>
      <c r="M45" s="164" t="s">
        <v>142</v>
      </c>
      <c r="N45" s="165"/>
      <c r="O45" s="86"/>
      <c r="P45" s="145" t="s">
        <v>176</v>
      </c>
      <c r="Q45" s="146"/>
      <c r="R45" s="146"/>
      <c r="S45" s="146"/>
      <c r="T45" s="146"/>
      <c r="U45" s="146"/>
      <c r="V45" s="104" t="s">
        <v>104</v>
      </c>
      <c r="W45" s="150">
        <f>0.5*((J25*1000)/(2*S9*W44)-S11)</f>
        <v>15.500612223854816</v>
      </c>
      <c r="X45" s="150"/>
      <c r="Y45" s="105" t="s">
        <v>26</v>
      </c>
      <c r="Z45" s="91"/>
      <c r="AA45" s="93"/>
    </row>
    <row r="46" spans="1:31" ht="17.100000000000001" customHeight="1">
      <c r="A46" s="13"/>
      <c r="B46" s="48"/>
      <c r="C46" s="147" t="s">
        <v>134</v>
      </c>
      <c r="D46" s="148"/>
      <c r="E46" s="148"/>
      <c r="F46" s="148"/>
      <c r="G46" s="148"/>
      <c r="H46" s="148"/>
      <c r="I46" s="148"/>
      <c r="J46" s="137" t="s">
        <v>104</v>
      </c>
      <c r="K46" s="149">
        <f>K45*(X20*10^2)/1000</f>
        <v>1053.4241605839416</v>
      </c>
      <c r="L46" s="149"/>
      <c r="M46" s="162" t="s">
        <v>133</v>
      </c>
      <c r="N46" s="163"/>
      <c r="O46" s="86"/>
      <c r="P46" s="147" t="s">
        <v>177</v>
      </c>
      <c r="Q46" s="148"/>
      <c r="R46" s="148"/>
      <c r="S46" s="148"/>
      <c r="T46" s="148"/>
      <c r="U46" s="148"/>
      <c r="V46" s="106" t="s">
        <v>104</v>
      </c>
      <c r="W46" s="149">
        <f>W45*SQRT((3*W44)/(E9))</f>
        <v>7.2584043958217741</v>
      </c>
      <c r="X46" s="149"/>
      <c r="Y46" s="107" t="s">
        <v>26</v>
      </c>
      <c r="Z46" s="91"/>
      <c r="AA46" s="93"/>
    </row>
    <row r="47" spans="1:31" ht="17.100000000000001" customHeight="1">
      <c r="A47" s="13"/>
      <c r="B47" s="48"/>
      <c r="C47" s="83"/>
      <c r="D47" s="78"/>
      <c r="E47" s="78"/>
      <c r="F47" s="78"/>
      <c r="G47" s="78"/>
      <c r="H47" s="78"/>
      <c r="I47" s="78"/>
      <c r="J47" s="84"/>
      <c r="K47" s="84"/>
      <c r="L47" s="84"/>
      <c r="M47" s="85"/>
      <c r="N47" s="8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53"/>
    </row>
    <row r="48" spans="1:31" ht="17.100000000000001" customHeight="1">
      <c r="A48" s="13"/>
      <c r="B48" s="48"/>
      <c r="C48" s="174" t="s">
        <v>126</v>
      </c>
      <c r="D48" s="175"/>
      <c r="E48" s="175"/>
      <c r="F48" s="175"/>
      <c r="G48" s="175"/>
      <c r="H48" s="175"/>
      <c r="I48" s="141" t="s">
        <v>135</v>
      </c>
      <c r="J48" s="141"/>
      <c r="K48" s="141"/>
      <c r="L48" s="141"/>
      <c r="M48" s="141"/>
      <c r="N48" s="142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53"/>
    </row>
    <row r="49" spans="1:47" ht="17.100000000000001" customHeight="1">
      <c r="A49" s="13"/>
      <c r="B49" s="48"/>
      <c r="C49" s="180" t="s">
        <v>140</v>
      </c>
      <c r="D49" s="181"/>
      <c r="E49" s="181"/>
      <c r="F49" s="181"/>
      <c r="G49" s="181"/>
      <c r="H49" s="181"/>
      <c r="I49" s="181"/>
      <c r="J49" s="135" t="s">
        <v>104</v>
      </c>
      <c r="K49" s="151">
        <f>(E16*1000)/(X11*10)</f>
        <v>98.837209302325562</v>
      </c>
      <c r="L49" s="151"/>
      <c r="M49" s="166" t="s">
        <v>142</v>
      </c>
      <c r="N49" s="167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53"/>
    </row>
    <row r="50" spans="1:47" ht="17.100000000000001" customHeight="1">
      <c r="A50" s="13"/>
      <c r="B50" s="48"/>
      <c r="C50" s="145" t="s">
        <v>141</v>
      </c>
      <c r="D50" s="146"/>
      <c r="E50" s="146"/>
      <c r="F50" s="146"/>
      <c r="G50" s="146"/>
      <c r="H50" s="146"/>
      <c r="I50" s="146"/>
      <c r="J50" s="136" t="s">
        <v>104</v>
      </c>
      <c r="K50" s="179">
        <f>'Frd tables'!O34</f>
        <v>127.97674418604655</v>
      </c>
      <c r="L50" s="179"/>
      <c r="M50" s="164" t="s">
        <v>142</v>
      </c>
      <c r="N50" s="16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53"/>
    </row>
    <row r="51" spans="1:47" ht="17.100000000000001" customHeight="1">
      <c r="A51" s="13"/>
      <c r="B51" s="48"/>
      <c r="C51" s="147" t="s">
        <v>134</v>
      </c>
      <c r="D51" s="148"/>
      <c r="E51" s="148"/>
      <c r="F51" s="148"/>
      <c r="G51" s="148"/>
      <c r="H51" s="148"/>
      <c r="I51" s="148"/>
      <c r="J51" s="138" t="s">
        <v>104</v>
      </c>
      <c r="K51" s="149">
        <f>K50*X20*10^2/1000</f>
        <v>602.77046511627918</v>
      </c>
      <c r="L51" s="149"/>
      <c r="M51" s="162" t="s">
        <v>133</v>
      </c>
      <c r="N51" s="163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53"/>
    </row>
    <row r="52" spans="1:47" ht="17.100000000000001" customHeight="1">
      <c r="A52" s="13"/>
      <c r="B52" s="48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53"/>
    </row>
    <row r="53" spans="1:47" ht="17.100000000000001" customHeight="1">
      <c r="A53" s="13"/>
      <c r="B53" s="48"/>
      <c r="C53" s="204"/>
      <c r="D53" s="204"/>
      <c r="E53" s="204"/>
      <c r="F53" s="204"/>
      <c r="G53" s="204"/>
      <c r="H53" s="204"/>
      <c r="I53" s="204"/>
      <c r="J53" s="204"/>
      <c r="K53" s="204"/>
      <c r="L53" s="205"/>
      <c r="M53" s="205"/>
      <c r="N53" s="205"/>
      <c r="O53" s="35"/>
      <c r="P53" s="206"/>
      <c r="Q53" s="206"/>
      <c r="R53" s="206"/>
      <c r="S53" s="61"/>
      <c r="T53" s="89"/>
      <c r="U53" s="62"/>
      <c r="V53" s="199"/>
      <c r="W53" s="199"/>
      <c r="X53" s="63"/>
      <c r="Y53" s="61"/>
      <c r="Z53" s="53"/>
      <c r="AH53" s="32"/>
      <c r="AI53" s="64"/>
      <c r="AJ53" s="64"/>
      <c r="AK53" s="64"/>
      <c r="AL53" s="64"/>
      <c r="AM53" s="64"/>
      <c r="AN53" s="64"/>
      <c r="AO53" s="200"/>
      <c r="AP53" s="200"/>
      <c r="AQ53" s="200"/>
      <c r="AR53" s="200"/>
      <c r="AS53" s="200"/>
      <c r="AT53" s="200"/>
      <c r="AU53" s="32"/>
    </row>
    <row r="54" spans="1:47" ht="17.100000000000001" customHeight="1">
      <c r="A54" s="13"/>
      <c r="B54" s="4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53"/>
      <c r="AH54" s="32"/>
      <c r="AI54" s="64"/>
      <c r="AJ54" s="64"/>
      <c r="AK54" s="64"/>
      <c r="AL54" s="64"/>
      <c r="AM54" s="64"/>
      <c r="AN54" s="64"/>
      <c r="AO54" s="201"/>
      <c r="AP54" s="201"/>
      <c r="AQ54" s="201"/>
      <c r="AR54" s="201"/>
      <c r="AS54" s="65"/>
      <c r="AT54" s="52"/>
      <c r="AU54" s="32"/>
    </row>
    <row r="55" spans="1:47" ht="17.100000000000001" customHeight="1" thickBot="1">
      <c r="A55" s="13"/>
      <c r="B55" s="66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9"/>
      <c r="Z55" s="70"/>
      <c r="AH55" s="32"/>
      <c r="AI55" s="71"/>
      <c r="AJ55" s="71"/>
      <c r="AK55" s="71"/>
      <c r="AL55" s="71"/>
      <c r="AM55" s="71"/>
      <c r="AN55" s="71"/>
      <c r="AO55" s="202"/>
      <c r="AP55" s="202"/>
      <c r="AQ55" s="202"/>
      <c r="AR55" s="202"/>
      <c r="AS55" s="65"/>
      <c r="AT55" s="52"/>
      <c r="AU55" s="32"/>
    </row>
    <row r="56" spans="1:47" ht="10.5" customHeight="1">
      <c r="A56" s="13"/>
      <c r="AH56" s="32"/>
      <c r="AI56" s="64"/>
      <c r="AJ56" s="64"/>
      <c r="AK56" s="64"/>
      <c r="AL56" s="64"/>
      <c r="AM56" s="64"/>
      <c r="AN56" s="64"/>
      <c r="AO56" s="202"/>
      <c r="AP56" s="202"/>
      <c r="AQ56" s="202"/>
      <c r="AR56" s="202"/>
      <c r="AS56" s="65"/>
      <c r="AT56" s="52"/>
      <c r="AU56" s="32"/>
    </row>
    <row r="57" spans="1:47" ht="17.100000000000001" customHeight="1">
      <c r="A57" s="13"/>
      <c r="P57" s="72"/>
      <c r="AH57" s="32"/>
      <c r="AI57" s="64"/>
      <c r="AJ57" s="64"/>
      <c r="AK57" s="64"/>
      <c r="AL57" s="64"/>
      <c r="AM57" s="64"/>
      <c r="AN57" s="64"/>
      <c r="AO57" s="203"/>
      <c r="AP57" s="203"/>
      <c r="AQ57" s="203"/>
      <c r="AR57" s="203"/>
      <c r="AS57" s="52"/>
      <c r="AT57" s="52"/>
      <c r="AU57" s="32"/>
    </row>
    <row r="58" spans="1:47"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</row>
    <row r="59" spans="1:47"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</row>
  </sheetData>
  <mergeCells count="181">
    <mergeCell ref="C2:C4"/>
    <mergeCell ref="C15:D15"/>
    <mergeCell ref="C16:D16"/>
    <mergeCell ref="E15:F15"/>
    <mergeCell ref="E16:F16"/>
    <mergeCell ref="E12:F12"/>
    <mergeCell ref="B1:P1"/>
    <mergeCell ref="Q1:Z1"/>
    <mergeCell ref="D2:P4"/>
    <mergeCell ref="Q2:U3"/>
    <mergeCell ref="V3:W3"/>
    <mergeCell ref="X3:Z3"/>
    <mergeCell ref="Q4:S4"/>
    <mergeCell ref="T4:U4"/>
    <mergeCell ref="V4:W4"/>
    <mergeCell ref="X4:Z4"/>
    <mergeCell ref="C10:D10"/>
    <mergeCell ref="E10:F10"/>
    <mergeCell ref="P10:Q10"/>
    <mergeCell ref="C11:D11"/>
    <mergeCell ref="E11:F11"/>
    <mergeCell ref="P11:Q11"/>
    <mergeCell ref="C14:D14"/>
    <mergeCell ref="E14:F14"/>
    <mergeCell ref="L13:N13"/>
    <mergeCell ref="AF7:AG7"/>
    <mergeCell ref="C8:D8"/>
    <mergeCell ref="E8:F8"/>
    <mergeCell ref="P8:Q8"/>
    <mergeCell ref="C9:D9"/>
    <mergeCell ref="P9:Q9"/>
    <mergeCell ref="D5:P5"/>
    <mergeCell ref="Q5:S5"/>
    <mergeCell ref="T5:U5"/>
    <mergeCell ref="V5:W5"/>
    <mergeCell ref="X5:Z5"/>
    <mergeCell ref="C7:F7"/>
    <mergeCell ref="H7:N7"/>
    <mergeCell ref="P7:Y7"/>
    <mergeCell ref="E9:F9"/>
    <mergeCell ref="H8:N10"/>
    <mergeCell ref="H17:K17"/>
    <mergeCell ref="H12:N12"/>
    <mergeCell ref="P12:Q12"/>
    <mergeCell ref="P13:Q13"/>
    <mergeCell ref="H13:K13"/>
    <mergeCell ref="L14:N14"/>
    <mergeCell ref="H15:K15"/>
    <mergeCell ref="H16:K16"/>
    <mergeCell ref="L15:N15"/>
    <mergeCell ref="L16:N16"/>
    <mergeCell ref="L17:N17"/>
    <mergeCell ref="P14:Q14"/>
    <mergeCell ref="P15:Q15"/>
    <mergeCell ref="H14:K14"/>
    <mergeCell ref="AJ27:AM27"/>
    <mergeCell ref="P22:Y22"/>
    <mergeCell ref="P20:Q20"/>
    <mergeCell ref="P24:S24"/>
    <mergeCell ref="V24:W24"/>
    <mergeCell ref="X24:Y24"/>
    <mergeCell ref="P16:Q16"/>
    <mergeCell ref="P17:Q17"/>
    <mergeCell ref="C19:N19"/>
    <mergeCell ref="P18:Q18"/>
    <mergeCell ref="P19:Q19"/>
    <mergeCell ref="M20:N20"/>
    <mergeCell ref="M21:N21"/>
    <mergeCell ref="M22:N22"/>
    <mergeCell ref="M23:N23"/>
    <mergeCell ref="M24:N24"/>
    <mergeCell ref="M25:N25"/>
    <mergeCell ref="I27:N27"/>
    <mergeCell ref="C27:H27"/>
    <mergeCell ref="P25:S25"/>
    <mergeCell ref="V25:W25"/>
    <mergeCell ref="X25:Y25"/>
    <mergeCell ref="P26:S26"/>
    <mergeCell ref="V26:W26"/>
    <mergeCell ref="V53:W53"/>
    <mergeCell ref="AO53:AT53"/>
    <mergeCell ref="AO54:AR54"/>
    <mergeCell ref="AO55:AR55"/>
    <mergeCell ref="AO56:AR56"/>
    <mergeCell ref="AO57:AR57"/>
    <mergeCell ref="C53:K53"/>
    <mergeCell ref="L53:N53"/>
    <mergeCell ref="P53:R53"/>
    <mergeCell ref="K28:L28"/>
    <mergeCell ref="C28:I28"/>
    <mergeCell ref="J20:L20"/>
    <mergeCell ref="J21:L21"/>
    <mergeCell ref="J22:L22"/>
    <mergeCell ref="J23:L23"/>
    <mergeCell ref="J24:L24"/>
    <mergeCell ref="J25:L25"/>
    <mergeCell ref="C20:I20"/>
    <mergeCell ref="C21:I21"/>
    <mergeCell ref="C22:I22"/>
    <mergeCell ref="C23:I23"/>
    <mergeCell ref="C24:I24"/>
    <mergeCell ref="C25:I25"/>
    <mergeCell ref="C39:I39"/>
    <mergeCell ref="C40:I40"/>
    <mergeCell ref="K40:L40"/>
    <mergeCell ref="C34:I34"/>
    <mergeCell ref="K34:L34"/>
    <mergeCell ref="K36:L36"/>
    <mergeCell ref="C36:I36"/>
    <mergeCell ref="C41:I41"/>
    <mergeCell ref="K39:L39"/>
    <mergeCell ref="I38:N38"/>
    <mergeCell ref="M36:N36"/>
    <mergeCell ref="C38:H38"/>
    <mergeCell ref="K29:L29"/>
    <mergeCell ref="K30:L30"/>
    <mergeCell ref="K31:L31"/>
    <mergeCell ref="K32:L32"/>
    <mergeCell ref="K33:L33"/>
    <mergeCell ref="K35:L35"/>
    <mergeCell ref="C29:I29"/>
    <mergeCell ref="C30:I30"/>
    <mergeCell ref="C31:I31"/>
    <mergeCell ref="C32:I32"/>
    <mergeCell ref="C33:I33"/>
    <mergeCell ref="C35:I35"/>
    <mergeCell ref="K51:L51"/>
    <mergeCell ref="K50:L50"/>
    <mergeCell ref="K49:L49"/>
    <mergeCell ref="K46:L46"/>
    <mergeCell ref="K45:L45"/>
    <mergeCell ref="K44:L44"/>
    <mergeCell ref="K41:L41"/>
    <mergeCell ref="C44:I44"/>
    <mergeCell ref="C45:I45"/>
    <mergeCell ref="C46:I46"/>
    <mergeCell ref="C49:I49"/>
    <mergeCell ref="C50:I50"/>
    <mergeCell ref="C51:I51"/>
    <mergeCell ref="I43:N43"/>
    <mergeCell ref="I48:N48"/>
    <mergeCell ref="C43:H43"/>
    <mergeCell ref="C48:H48"/>
    <mergeCell ref="X26:Y26"/>
    <mergeCell ref="S23:U23"/>
    <mergeCell ref="V23:X23"/>
    <mergeCell ref="M51:N51"/>
    <mergeCell ref="M50:N50"/>
    <mergeCell ref="M49:N49"/>
    <mergeCell ref="M46:N46"/>
    <mergeCell ref="M45:N45"/>
    <mergeCell ref="M44:N44"/>
    <mergeCell ref="M41:N41"/>
    <mergeCell ref="M40:N40"/>
    <mergeCell ref="M39:N39"/>
    <mergeCell ref="M29:N29"/>
    <mergeCell ref="M30:N30"/>
    <mergeCell ref="M31:N31"/>
    <mergeCell ref="M32:N32"/>
    <mergeCell ref="M33:N33"/>
    <mergeCell ref="M34:N34"/>
    <mergeCell ref="M35:N35"/>
    <mergeCell ref="P43:U43"/>
    <mergeCell ref="P32:S32"/>
    <mergeCell ref="U32:W32"/>
    <mergeCell ref="P27:S27"/>
    <mergeCell ref="V27:W27"/>
    <mergeCell ref="X27:Y27"/>
    <mergeCell ref="V43:Y43"/>
    <mergeCell ref="P44:U44"/>
    <mergeCell ref="P45:U45"/>
    <mergeCell ref="P46:U46"/>
    <mergeCell ref="W46:X46"/>
    <mergeCell ref="W45:X45"/>
    <mergeCell ref="W44:X44"/>
    <mergeCell ref="P30:S30"/>
    <mergeCell ref="U30:W30"/>
    <mergeCell ref="Y30:Y31"/>
    <mergeCell ref="P31:S31"/>
    <mergeCell ref="U31:W31"/>
    <mergeCell ref="P29:Y29"/>
  </mergeCells>
  <conditionalFormatting sqref="AF8:AF10">
    <cfRule type="cellIs" dxfId="2" priority="1" stopIfTrue="1" operator="greaterThan">
      <formula>1</formula>
    </cfRule>
  </conditionalFormatting>
  <conditionalFormatting sqref="X53:Y53 U53">
    <cfRule type="expression" dxfId="1" priority="4">
      <formula>#REF!=$AB$44</formula>
    </cfRule>
  </conditionalFormatting>
  <conditionalFormatting sqref="AF11">
    <cfRule type="expression" dxfId="0" priority="6">
      <formula>AND(#REF!&lt;&gt;$AB$44,$AF$11&gt;1)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L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FA81FBB-F677-407D-BEA2-C3BD2C90F42D}">
          <x14:formula1>
            <xm:f>UC!$A$3:$A$48</xm:f>
          </x14:formula1>
          <xm:sqref>H8</xm:sqref>
        </x14:dataValidation>
        <x14:dataValidation type="list" allowBlank="1" showInputMessage="1" showErrorMessage="1" xr:uid="{5A21EF69-2EEC-4561-BF51-791D329B87BD}">
          <x14:formula1>
            <xm:f>'Other tables'!$C$2:$E$2</xm:f>
          </x14:formula1>
          <xm:sqref>H13</xm:sqref>
        </x14:dataValidation>
        <x14:dataValidation type="list" allowBlank="1" showInputMessage="1" showErrorMessage="1" xr:uid="{84277B83-FE14-4A54-9ADA-0EB66319D415}">
          <x14:formula1>
            <xm:f>'Other tables'!$J$12:$K$12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DE329-9E5D-459B-88BD-18275E59F94D}">
  <dimension ref="A1:AA48"/>
  <sheetViews>
    <sheetView zoomScale="70" zoomScaleNormal="70" workbookViewId="0">
      <selection activeCell="C50" sqref="C50"/>
    </sheetView>
  </sheetViews>
  <sheetFormatPr defaultRowHeight="15"/>
  <cols>
    <col min="1" max="1" width="25.7109375" customWidth="1"/>
    <col min="2" max="2" width="24" bestFit="1" customWidth="1"/>
    <col min="3" max="3" width="18.42578125" bestFit="1" customWidth="1"/>
    <col min="4" max="4" width="28.140625" bestFit="1" customWidth="1"/>
    <col min="5" max="5" width="21.42578125" bestFit="1" customWidth="1"/>
    <col min="6" max="6" width="22.28515625" bestFit="1" customWidth="1"/>
    <col min="7" max="8" width="16.28515625" customWidth="1"/>
    <col min="9" max="9" width="7.5703125" bestFit="1" customWidth="1"/>
    <col min="10" max="10" width="7" bestFit="1" customWidth="1"/>
    <col min="11" max="11" width="10.140625" bestFit="1" customWidth="1"/>
    <col min="12" max="12" width="10" bestFit="1" customWidth="1"/>
    <col min="13" max="13" width="10.140625" bestFit="1" customWidth="1"/>
    <col min="14" max="14" width="10" bestFit="1" customWidth="1"/>
    <col min="15" max="15" width="9.42578125" bestFit="1" customWidth="1"/>
    <col min="16" max="16" width="8.5703125" bestFit="1" customWidth="1"/>
    <col min="17" max="17" width="8" bestFit="1" customWidth="1"/>
  </cols>
  <sheetData>
    <row r="1" spans="1:27">
      <c r="A1" s="310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</row>
    <row r="2" spans="1:27">
      <c r="A2" s="310"/>
      <c r="B2" s="1" t="s">
        <v>26</v>
      </c>
      <c r="C2" s="1" t="s">
        <v>26</v>
      </c>
      <c r="D2" s="1" t="s">
        <v>26</v>
      </c>
      <c r="E2" s="2" t="s">
        <v>26</v>
      </c>
      <c r="F2" t="s">
        <v>26</v>
      </c>
      <c r="G2" t="s">
        <v>26</v>
      </c>
      <c r="H2" t="s">
        <v>27</v>
      </c>
      <c r="I2" t="s">
        <v>27</v>
      </c>
      <c r="J2" t="s">
        <v>26</v>
      </c>
      <c r="K2" t="s">
        <v>26</v>
      </c>
      <c r="L2" t="s">
        <v>26</v>
      </c>
      <c r="M2" t="s">
        <v>28</v>
      </c>
      <c r="N2" t="s">
        <v>28</v>
      </c>
      <c r="O2" t="s">
        <v>29</v>
      </c>
      <c r="P2" t="s">
        <v>29</v>
      </c>
      <c r="Q2" t="s">
        <v>30</v>
      </c>
      <c r="R2" t="s">
        <v>30</v>
      </c>
      <c r="S2" t="s">
        <v>31</v>
      </c>
      <c r="T2" t="s">
        <v>31</v>
      </c>
      <c r="U2" t="s">
        <v>31</v>
      </c>
      <c r="V2" t="s">
        <v>31</v>
      </c>
      <c r="W2" t="s">
        <v>27</v>
      </c>
      <c r="X2" t="s">
        <v>27</v>
      </c>
      <c r="Y2" t="s">
        <v>32</v>
      </c>
      <c r="Z2" t="s">
        <v>29</v>
      </c>
      <c r="AA2" t="s">
        <v>33</v>
      </c>
    </row>
    <row r="3" spans="1:27">
      <c r="A3" s="1" t="s">
        <v>34</v>
      </c>
      <c r="B3" s="3">
        <v>600</v>
      </c>
      <c r="C3" s="3">
        <v>476</v>
      </c>
      <c r="D3" s="3">
        <v>100</v>
      </c>
      <c r="E3">
        <v>140</v>
      </c>
      <c r="F3">
        <v>15.4</v>
      </c>
      <c r="G3">
        <v>290</v>
      </c>
      <c r="H3">
        <v>2.9</v>
      </c>
      <c r="I3">
        <v>1.23</v>
      </c>
      <c r="J3">
        <v>52</v>
      </c>
      <c r="K3">
        <v>198</v>
      </c>
      <c r="L3">
        <v>156</v>
      </c>
      <c r="M3">
        <v>2.88</v>
      </c>
      <c r="N3">
        <v>2.2200000000000002</v>
      </c>
      <c r="O3">
        <v>755000</v>
      </c>
      <c r="P3">
        <v>254000</v>
      </c>
      <c r="Q3">
        <v>21.4</v>
      </c>
      <c r="R3">
        <v>12.4</v>
      </c>
      <c r="S3">
        <v>25200</v>
      </c>
      <c r="T3">
        <v>10700</v>
      </c>
      <c r="U3">
        <v>33200</v>
      </c>
      <c r="V3">
        <v>16700</v>
      </c>
      <c r="W3">
        <v>0.84599999999999997</v>
      </c>
      <c r="X3">
        <v>3.42</v>
      </c>
      <c r="Y3">
        <v>133.1</v>
      </c>
      <c r="Z3">
        <v>94500</v>
      </c>
      <c r="AA3">
        <v>1655</v>
      </c>
    </row>
    <row r="4" spans="1:27">
      <c r="A4" s="1" t="s">
        <v>35</v>
      </c>
      <c r="B4" s="3">
        <v>580</v>
      </c>
      <c r="C4" s="3">
        <v>471</v>
      </c>
      <c r="D4" s="3">
        <v>95</v>
      </c>
      <c r="E4">
        <v>130</v>
      </c>
      <c r="F4">
        <v>15.4</v>
      </c>
      <c r="G4">
        <v>290</v>
      </c>
      <c r="H4">
        <v>3.05</v>
      </c>
      <c r="I4">
        <v>1.33</v>
      </c>
      <c r="J4">
        <v>50</v>
      </c>
      <c r="K4">
        <v>198</v>
      </c>
      <c r="L4">
        <v>146</v>
      </c>
      <c r="M4">
        <v>2.83</v>
      </c>
      <c r="N4">
        <v>2.35</v>
      </c>
      <c r="O4">
        <v>664000</v>
      </c>
      <c r="P4">
        <v>229000</v>
      </c>
      <c r="Q4">
        <v>20.8</v>
      </c>
      <c r="R4">
        <v>12.2</v>
      </c>
      <c r="S4">
        <v>22900</v>
      </c>
      <c r="T4">
        <v>9710</v>
      </c>
      <c r="U4">
        <v>30000</v>
      </c>
      <c r="V4">
        <v>15200</v>
      </c>
      <c r="W4">
        <v>0.84199999999999997</v>
      </c>
      <c r="X4">
        <v>3.59</v>
      </c>
      <c r="Y4">
        <v>114.6</v>
      </c>
      <c r="Z4">
        <v>76300</v>
      </c>
      <c r="AA4">
        <v>1531</v>
      </c>
    </row>
    <row r="5" spans="1:27">
      <c r="A5" s="1" t="s">
        <v>36</v>
      </c>
      <c r="B5" s="3">
        <v>569</v>
      </c>
      <c r="C5" s="3">
        <v>454</v>
      </c>
      <c r="D5" s="3">
        <v>78</v>
      </c>
      <c r="E5">
        <v>125</v>
      </c>
      <c r="F5">
        <v>15</v>
      </c>
      <c r="G5">
        <v>290</v>
      </c>
      <c r="H5">
        <v>3.72</v>
      </c>
      <c r="I5">
        <v>1.38</v>
      </c>
      <c r="J5">
        <v>41</v>
      </c>
      <c r="K5">
        <v>198</v>
      </c>
      <c r="L5">
        <v>140</v>
      </c>
      <c r="M5">
        <v>2.77</v>
      </c>
      <c r="N5">
        <v>2.5499999999999998</v>
      </c>
      <c r="O5">
        <v>596000</v>
      </c>
      <c r="P5">
        <v>196000</v>
      </c>
      <c r="Q5">
        <v>20.7</v>
      </c>
      <c r="R5">
        <v>11.9</v>
      </c>
      <c r="S5">
        <v>20900</v>
      </c>
      <c r="T5">
        <v>8640</v>
      </c>
      <c r="U5">
        <v>27200</v>
      </c>
      <c r="V5">
        <v>13400</v>
      </c>
      <c r="W5">
        <v>0.85199999999999998</v>
      </c>
      <c r="X5">
        <v>3.79</v>
      </c>
      <c r="Y5">
        <v>96.1</v>
      </c>
      <c r="Z5">
        <v>60500</v>
      </c>
      <c r="AA5">
        <v>1386</v>
      </c>
    </row>
    <row r="6" spans="1:27">
      <c r="A6" s="1" t="s">
        <v>37</v>
      </c>
      <c r="B6" s="3">
        <v>550</v>
      </c>
      <c r="C6" s="3">
        <v>448</v>
      </c>
      <c r="D6" s="3">
        <v>71.900000000000006</v>
      </c>
      <c r="E6">
        <v>115</v>
      </c>
      <c r="F6">
        <v>15</v>
      </c>
      <c r="G6">
        <v>290</v>
      </c>
      <c r="H6">
        <v>4.03</v>
      </c>
      <c r="I6">
        <v>1.5</v>
      </c>
      <c r="J6">
        <v>38</v>
      </c>
      <c r="K6">
        <v>200</v>
      </c>
      <c r="L6">
        <v>130</v>
      </c>
      <c r="M6">
        <v>2.72</v>
      </c>
      <c r="N6">
        <v>2.75</v>
      </c>
      <c r="O6">
        <v>519000</v>
      </c>
      <c r="P6">
        <v>173000</v>
      </c>
      <c r="Q6">
        <v>20.3</v>
      </c>
      <c r="R6">
        <v>11.7</v>
      </c>
      <c r="S6">
        <v>18900</v>
      </c>
      <c r="T6">
        <v>7740</v>
      </c>
      <c r="U6">
        <v>24300</v>
      </c>
      <c r="V6">
        <v>12000</v>
      </c>
      <c r="W6">
        <v>0.85099999999999998</v>
      </c>
      <c r="X6">
        <v>4.0199999999999996</v>
      </c>
      <c r="Y6">
        <v>81.5</v>
      </c>
      <c r="Z6">
        <v>46900</v>
      </c>
      <c r="AA6">
        <v>1262</v>
      </c>
    </row>
    <row r="7" spans="1:27">
      <c r="A7" s="1" t="s">
        <v>38</v>
      </c>
      <c r="B7" s="3">
        <v>531</v>
      </c>
      <c r="C7" s="3">
        <v>442</v>
      </c>
      <c r="D7" s="3">
        <v>65.900000000000006</v>
      </c>
      <c r="E7">
        <v>106</v>
      </c>
      <c r="F7">
        <v>15</v>
      </c>
      <c r="G7">
        <v>290</v>
      </c>
      <c r="H7">
        <v>4.4000000000000004</v>
      </c>
      <c r="I7">
        <v>1.63</v>
      </c>
      <c r="J7">
        <v>35</v>
      </c>
      <c r="K7">
        <v>200</v>
      </c>
      <c r="L7">
        <v>122</v>
      </c>
      <c r="M7">
        <v>2.67</v>
      </c>
      <c r="N7">
        <v>2.97</v>
      </c>
      <c r="O7">
        <v>450000</v>
      </c>
      <c r="P7">
        <v>153000</v>
      </c>
      <c r="Q7">
        <v>19.8</v>
      </c>
      <c r="R7">
        <v>11.6</v>
      </c>
      <c r="S7">
        <v>17000</v>
      </c>
      <c r="T7">
        <v>6940</v>
      </c>
      <c r="U7">
        <v>21600</v>
      </c>
      <c r="V7">
        <v>10700</v>
      </c>
      <c r="W7">
        <v>0.84899999999999998</v>
      </c>
      <c r="X7">
        <v>4.26</v>
      </c>
      <c r="Y7">
        <v>68.900000000000006</v>
      </c>
      <c r="Z7">
        <v>36400</v>
      </c>
      <c r="AA7">
        <v>1149</v>
      </c>
    </row>
    <row r="8" spans="1:27">
      <c r="A8" s="1" t="s">
        <v>39</v>
      </c>
      <c r="B8" s="3">
        <v>514</v>
      </c>
      <c r="C8" s="3">
        <v>437</v>
      </c>
      <c r="D8" s="3">
        <v>60.5</v>
      </c>
      <c r="E8">
        <v>97</v>
      </c>
      <c r="F8">
        <v>15</v>
      </c>
      <c r="G8">
        <v>290</v>
      </c>
      <c r="H8">
        <v>4.79</v>
      </c>
      <c r="I8">
        <v>1.79</v>
      </c>
      <c r="J8">
        <v>32</v>
      </c>
      <c r="K8">
        <v>200</v>
      </c>
      <c r="L8">
        <v>112</v>
      </c>
      <c r="M8">
        <v>2.63</v>
      </c>
      <c r="N8">
        <v>3.22</v>
      </c>
      <c r="O8">
        <v>392000</v>
      </c>
      <c r="P8">
        <v>136000</v>
      </c>
      <c r="Q8">
        <v>19.399999999999999</v>
      </c>
      <c r="R8">
        <v>11.4</v>
      </c>
      <c r="S8">
        <v>15300</v>
      </c>
      <c r="T8">
        <v>6200</v>
      </c>
      <c r="U8">
        <v>19300</v>
      </c>
      <c r="V8">
        <v>9560</v>
      </c>
      <c r="W8">
        <v>0.84699999999999998</v>
      </c>
      <c r="X8">
        <v>4.55</v>
      </c>
      <c r="Y8">
        <v>58.6</v>
      </c>
      <c r="Z8">
        <v>27800</v>
      </c>
      <c r="AA8">
        <v>1043</v>
      </c>
    </row>
    <row r="9" spans="1:27">
      <c r="A9" s="1" t="s">
        <v>40</v>
      </c>
      <c r="B9" s="3">
        <v>498</v>
      </c>
      <c r="C9" s="3">
        <v>432</v>
      </c>
      <c r="D9" s="3">
        <v>55.6</v>
      </c>
      <c r="E9">
        <v>88.9</v>
      </c>
      <c r="F9">
        <v>15</v>
      </c>
      <c r="G9">
        <v>290</v>
      </c>
      <c r="H9">
        <v>5.22</v>
      </c>
      <c r="I9">
        <v>1.95</v>
      </c>
      <c r="J9">
        <v>30</v>
      </c>
      <c r="K9">
        <v>200</v>
      </c>
      <c r="L9">
        <v>104</v>
      </c>
      <c r="M9">
        <v>2.59</v>
      </c>
      <c r="N9">
        <v>3.48</v>
      </c>
      <c r="O9">
        <v>342000</v>
      </c>
      <c r="P9">
        <v>120000</v>
      </c>
      <c r="Q9">
        <v>19</v>
      </c>
      <c r="R9">
        <v>11.3</v>
      </c>
      <c r="S9">
        <v>13700</v>
      </c>
      <c r="T9">
        <v>5550</v>
      </c>
      <c r="U9">
        <v>17200</v>
      </c>
      <c r="V9">
        <v>8550</v>
      </c>
      <c r="W9">
        <v>0.84499999999999997</v>
      </c>
      <c r="X9">
        <v>4.8600000000000003</v>
      </c>
      <c r="Y9">
        <v>50</v>
      </c>
      <c r="Z9">
        <v>21400</v>
      </c>
      <c r="AA9">
        <v>948</v>
      </c>
    </row>
    <row r="10" spans="1:27">
      <c r="A10" s="1" t="s">
        <v>41</v>
      </c>
      <c r="B10" s="3">
        <v>483</v>
      </c>
      <c r="C10" s="3">
        <v>428</v>
      </c>
      <c r="D10" s="3">
        <v>51.2</v>
      </c>
      <c r="E10">
        <v>81.5</v>
      </c>
      <c r="F10">
        <v>15</v>
      </c>
      <c r="G10">
        <v>290</v>
      </c>
      <c r="H10">
        <v>5.66</v>
      </c>
      <c r="I10">
        <v>2.13</v>
      </c>
      <c r="J10">
        <v>28</v>
      </c>
      <c r="K10">
        <v>200</v>
      </c>
      <c r="L10">
        <v>98</v>
      </c>
      <c r="M10">
        <v>2.5499999999999998</v>
      </c>
      <c r="N10">
        <v>3.77</v>
      </c>
      <c r="O10">
        <v>300000</v>
      </c>
      <c r="P10">
        <v>107000</v>
      </c>
      <c r="Q10">
        <v>18.600000000000001</v>
      </c>
      <c r="R10">
        <v>11.1</v>
      </c>
      <c r="S10">
        <v>12400</v>
      </c>
      <c r="T10">
        <v>4990</v>
      </c>
      <c r="U10">
        <v>15400</v>
      </c>
      <c r="V10">
        <v>7680</v>
      </c>
      <c r="W10">
        <v>0.84399999999999997</v>
      </c>
      <c r="X10">
        <v>5.19</v>
      </c>
      <c r="Y10">
        <v>42.9</v>
      </c>
      <c r="Z10">
        <v>16400</v>
      </c>
      <c r="AA10">
        <v>863</v>
      </c>
    </row>
    <row r="11" spans="1:27">
      <c r="A11" s="1" t="s">
        <v>42</v>
      </c>
      <c r="B11" s="3">
        <v>474.6</v>
      </c>
      <c r="C11" s="3">
        <v>424</v>
      </c>
      <c r="D11" s="3">
        <v>47.6</v>
      </c>
      <c r="E11">
        <v>77</v>
      </c>
      <c r="F11">
        <v>15.2</v>
      </c>
      <c r="G11">
        <v>290.2</v>
      </c>
      <c r="H11">
        <v>6.1</v>
      </c>
      <c r="I11">
        <v>2.25</v>
      </c>
      <c r="J11">
        <v>26</v>
      </c>
      <c r="K11">
        <v>200</v>
      </c>
      <c r="L11">
        <v>94</v>
      </c>
      <c r="M11">
        <v>2.52</v>
      </c>
      <c r="N11">
        <v>3.98</v>
      </c>
      <c r="O11">
        <v>275000</v>
      </c>
      <c r="P11">
        <v>98100</v>
      </c>
      <c r="Q11">
        <v>18.399999999999999</v>
      </c>
      <c r="R11">
        <v>11</v>
      </c>
      <c r="S11">
        <v>11600</v>
      </c>
      <c r="T11">
        <v>4630</v>
      </c>
      <c r="U11">
        <v>14200</v>
      </c>
      <c r="V11">
        <v>7110</v>
      </c>
      <c r="W11">
        <v>0.84199999999999997</v>
      </c>
      <c r="X11">
        <v>5.46</v>
      </c>
      <c r="Y11">
        <v>38.799999999999997</v>
      </c>
      <c r="Z11">
        <v>13700</v>
      </c>
      <c r="AA11">
        <v>808</v>
      </c>
    </row>
    <row r="12" spans="1:27">
      <c r="A12" s="1" t="s">
        <v>43</v>
      </c>
      <c r="B12" s="3">
        <v>465</v>
      </c>
      <c r="C12" s="3">
        <v>421</v>
      </c>
      <c r="D12" s="3">
        <v>45</v>
      </c>
      <c r="E12">
        <v>72.3</v>
      </c>
      <c r="F12">
        <v>15</v>
      </c>
      <c r="G12">
        <v>290</v>
      </c>
      <c r="H12">
        <v>6.44</v>
      </c>
      <c r="I12">
        <v>2.39</v>
      </c>
      <c r="J12">
        <v>25</v>
      </c>
      <c r="K12">
        <v>198</v>
      </c>
      <c r="L12">
        <v>88</v>
      </c>
      <c r="M12">
        <v>2.5</v>
      </c>
      <c r="N12">
        <v>4.22</v>
      </c>
      <c r="O12">
        <v>250000</v>
      </c>
      <c r="P12">
        <v>90200</v>
      </c>
      <c r="Q12">
        <v>18.2</v>
      </c>
      <c r="R12">
        <v>10.9</v>
      </c>
      <c r="S12">
        <v>10800</v>
      </c>
      <c r="T12">
        <v>4280</v>
      </c>
      <c r="U12">
        <v>13100</v>
      </c>
      <c r="V12">
        <v>6570</v>
      </c>
      <c r="W12">
        <v>0.84299999999999997</v>
      </c>
      <c r="X12">
        <v>5.72</v>
      </c>
      <c r="Y12">
        <v>34.700000000000003</v>
      </c>
      <c r="Z12">
        <v>11400</v>
      </c>
      <c r="AA12">
        <v>755</v>
      </c>
    </row>
    <row r="13" spans="1:27">
      <c r="A13" s="1" t="s">
        <v>44</v>
      </c>
      <c r="B13" s="3">
        <v>455.6</v>
      </c>
      <c r="C13" s="3">
        <v>418.5</v>
      </c>
      <c r="D13" s="3">
        <v>42.1</v>
      </c>
      <c r="E13">
        <v>67.5</v>
      </c>
      <c r="F13">
        <v>15.2</v>
      </c>
      <c r="G13">
        <v>290.2</v>
      </c>
      <c r="H13">
        <v>6.89</v>
      </c>
      <c r="I13">
        <v>2.56</v>
      </c>
      <c r="J13">
        <v>23</v>
      </c>
      <c r="K13">
        <v>200</v>
      </c>
      <c r="L13">
        <v>84</v>
      </c>
      <c r="M13">
        <v>2.48</v>
      </c>
      <c r="N13">
        <v>4.49</v>
      </c>
      <c r="O13">
        <v>227000</v>
      </c>
      <c r="P13">
        <v>82700</v>
      </c>
      <c r="Q13">
        <v>18</v>
      </c>
      <c r="R13">
        <v>10.9</v>
      </c>
      <c r="S13">
        <v>9960</v>
      </c>
      <c r="T13">
        <v>3950</v>
      </c>
      <c r="U13">
        <v>12100</v>
      </c>
      <c r="V13">
        <v>6060</v>
      </c>
      <c r="W13">
        <v>0.84199999999999997</v>
      </c>
      <c r="X13">
        <v>6.05</v>
      </c>
      <c r="Y13">
        <v>31.1</v>
      </c>
      <c r="Z13">
        <v>9240</v>
      </c>
      <c r="AA13">
        <v>702</v>
      </c>
    </row>
    <row r="14" spans="1:27">
      <c r="A14" s="1" t="s">
        <v>45</v>
      </c>
      <c r="B14" s="3">
        <v>446</v>
      </c>
      <c r="C14" s="3">
        <v>416</v>
      </c>
      <c r="D14" s="3">
        <v>39.1</v>
      </c>
      <c r="E14">
        <v>62.7</v>
      </c>
      <c r="F14">
        <v>15</v>
      </c>
      <c r="G14">
        <v>290</v>
      </c>
      <c r="H14">
        <v>7.42</v>
      </c>
      <c r="I14">
        <v>2.77</v>
      </c>
      <c r="J14">
        <v>22</v>
      </c>
      <c r="K14">
        <v>200</v>
      </c>
      <c r="L14">
        <v>78</v>
      </c>
      <c r="M14">
        <v>2.4500000000000002</v>
      </c>
      <c r="N14">
        <v>4.8099999999999996</v>
      </c>
      <c r="O14">
        <v>204000</v>
      </c>
      <c r="P14">
        <v>75400</v>
      </c>
      <c r="Q14">
        <v>17.8</v>
      </c>
      <c r="R14">
        <v>10.8</v>
      </c>
      <c r="S14">
        <v>9170</v>
      </c>
      <c r="T14">
        <v>3620</v>
      </c>
      <c r="U14">
        <v>11000</v>
      </c>
      <c r="V14">
        <v>5550</v>
      </c>
      <c r="W14">
        <v>0.84</v>
      </c>
      <c r="X14">
        <v>6.42</v>
      </c>
      <c r="Y14">
        <v>27.6</v>
      </c>
      <c r="Z14">
        <v>7390</v>
      </c>
      <c r="AA14">
        <v>649</v>
      </c>
    </row>
    <row r="15" spans="1:27">
      <c r="A15" s="4" t="s">
        <v>46</v>
      </c>
      <c r="B15" s="5">
        <v>436.6</v>
      </c>
      <c r="C15" s="5">
        <v>412.2</v>
      </c>
      <c r="D15" s="5">
        <v>35.799999999999997</v>
      </c>
      <c r="E15" s="6">
        <v>58</v>
      </c>
      <c r="F15" s="6">
        <v>15.2</v>
      </c>
      <c r="G15" s="6">
        <v>290.2</v>
      </c>
      <c r="H15" s="6">
        <v>8.11</v>
      </c>
      <c r="I15" s="6">
        <v>2.98</v>
      </c>
      <c r="J15" s="6">
        <v>20</v>
      </c>
      <c r="K15" s="6">
        <v>200</v>
      </c>
      <c r="L15" s="6">
        <v>74</v>
      </c>
      <c r="M15" s="6">
        <v>2.42</v>
      </c>
      <c r="N15" s="6">
        <v>5.18</v>
      </c>
      <c r="O15" s="6">
        <v>183000</v>
      </c>
      <c r="P15" s="6">
        <v>67800</v>
      </c>
      <c r="Q15" s="6">
        <v>17.5</v>
      </c>
      <c r="R15" s="6">
        <v>10.7</v>
      </c>
      <c r="S15" s="6">
        <v>8380</v>
      </c>
      <c r="T15" s="6">
        <v>3290</v>
      </c>
      <c r="U15" s="6">
        <v>10000</v>
      </c>
      <c r="V15" s="6">
        <v>5030</v>
      </c>
      <c r="W15" s="6">
        <v>0.83899999999999997</v>
      </c>
      <c r="X15" s="6">
        <v>6.85</v>
      </c>
      <c r="Y15" s="6">
        <v>24.3</v>
      </c>
      <c r="Z15" s="6">
        <v>5810</v>
      </c>
      <c r="AA15" s="6">
        <v>595</v>
      </c>
    </row>
    <row r="16" spans="1:27">
      <c r="A16" s="1" t="s">
        <v>47</v>
      </c>
      <c r="B16" s="3">
        <v>419</v>
      </c>
      <c r="C16" s="3">
        <v>407</v>
      </c>
      <c r="D16" s="3">
        <v>30.6</v>
      </c>
      <c r="E16">
        <v>49.2</v>
      </c>
      <c r="F16">
        <v>15.2</v>
      </c>
      <c r="G16">
        <v>290.2</v>
      </c>
      <c r="H16">
        <v>9.48</v>
      </c>
      <c r="I16">
        <v>3.52</v>
      </c>
      <c r="J16">
        <v>17</v>
      </c>
      <c r="K16">
        <v>200</v>
      </c>
      <c r="L16">
        <v>66</v>
      </c>
      <c r="M16">
        <v>2.38</v>
      </c>
      <c r="N16">
        <v>6.06</v>
      </c>
      <c r="O16">
        <v>147000</v>
      </c>
      <c r="P16">
        <v>55400</v>
      </c>
      <c r="Q16">
        <v>17.100000000000001</v>
      </c>
      <c r="R16">
        <v>10.5</v>
      </c>
      <c r="S16">
        <v>7000</v>
      </c>
      <c r="T16">
        <v>2720</v>
      </c>
      <c r="U16">
        <v>8220</v>
      </c>
      <c r="V16">
        <v>4150</v>
      </c>
      <c r="W16">
        <v>0.83699999999999997</v>
      </c>
      <c r="X16">
        <v>7.85</v>
      </c>
      <c r="Y16">
        <v>18.899999999999999</v>
      </c>
      <c r="Z16">
        <v>3550</v>
      </c>
      <c r="AA16">
        <v>501</v>
      </c>
    </row>
    <row r="17" spans="1:27">
      <c r="A17" s="1" t="s">
        <v>48</v>
      </c>
      <c r="B17" s="3">
        <v>406.4</v>
      </c>
      <c r="C17" s="3">
        <v>403</v>
      </c>
      <c r="D17" s="3">
        <v>26.6</v>
      </c>
      <c r="E17">
        <v>42.9</v>
      </c>
      <c r="F17">
        <v>15.2</v>
      </c>
      <c r="G17">
        <v>290.2</v>
      </c>
      <c r="H17">
        <v>10.9</v>
      </c>
      <c r="I17">
        <v>4.03</v>
      </c>
      <c r="J17">
        <v>15</v>
      </c>
      <c r="K17">
        <v>200</v>
      </c>
      <c r="L17">
        <v>60</v>
      </c>
      <c r="M17">
        <v>2.35</v>
      </c>
      <c r="N17">
        <v>6.91</v>
      </c>
      <c r="O17">
        <v>123000</v>
      </c>
      <c r="P17">
        <v>46900</v>
      </c>
      <c r="Q17">
        <v>16.8</v>
      </c>
      <c r="R17">
        <v>10.4</v>
      </c>
      <c r="S17">
        <v>6030</v>
      </c>
      <c r="T17">
        <v>2330</v>
      </c>
      <c r="U17">
        <v>7000</v>
      </c>
      <c r="V17">
        <v>3540</v>
      </c>
      <c r="W17">
        <v>0.83599999999999997</v>
      </c>
      <c r="X17">
        <v>8.85</v>
      </c>
      <c r="Y17">
        <v>15.5</v>
      </c>
      <c r="Z17">
        <v>2340</v>
      </c>
      <c r="AA17">
        <v>433</v>
      </c>
    </row>
    <row r="18" spans="1:27">
      <c r="A18" s="1" t="s">
        <v>49</v>
      </c>
      <c r="B18" s="3">
        <v>393.6</v>
      </c>
      <c r="C18" s="3">
        <v>399</v>
      </c>
      <c r="D18" s="3">
        <v>22.6</v>
      </c>
      <c r="E18">
        <v>36.5</v>
      </c>
      <c r="F18">
        <v>15.2</v>
      </c>
      <c r="G18">
        <v>290.2</v>
      </c>
      <c r="H18">
        <v>12.8</v>
      </c>
      <c r="I18">
        <v>4.74</v>
      </c>
      <c r="J18">
        <v>13</v>
      </c>
      <c r="K18">
        <v>200</v>
      </c>
      <c r="L18">
        <v>52</v>
      </c>
      <c r="M18">
        <v>2.31</v>
      </c>
      <c r="N18">
        <v>8.0500000000000007</v>
      </c>
      <c r="O18">
        <v>99900</v>
      </c>
      <c r="P18">
        <v>38700</v>
      </c>
      <c r="Q18">
        <v>16.5</v>
      </c>
      <c r="R18">
        <v>10.3</v>
      </c>
      <c r="S18">
        <v>5070</v>
      </c>
      <c r="T18">
        <v>1940</v>
      </c>
      <c r="U18">
        <v>5810</v>
      </c>
      <c r="V18">
        <v>2950</v>
      </c>
      <c r="W18">
        <v>0.83499999999999996</v>
      </c>
      <c r="X18">
        <v>10.199999999999999</v>
      </c>
      <c r="Y18">
        <v>12.3</v>
      </c>
      <c r="Z18">
        <v>1440</v>
      </c>
      <c r="AA18">
        <v>366</v>
      </c>
    </row>
    <row r="19" spans="1:27">
      <c r="A19" s="4" t="s">
        <v>50</v>
      </c>
      <c r="B19" s="5">
        <v>381</v>
      </c>
      <c r="C19" s="5">
        <v>394.8</v>
      </c>
      <c r="D19" s="5">
        <v>18.399999999999999</v>
      </c>
      <c r="E19" s="6">
        <v>30.2</v>
      </c>
      <c r="F19" s="6">
        <v>15.2</v>
      </c>
      <c r="G19" s="6">
        <v>290.2</v>
      </c>
      <c r="H19" s="6">
        <v>15.8</v>
      </c>
      <c r="I19" s="6">
        <v>5.73</v>
      </c>
      <c r="J19" s="6">
        <v>11</v>
      </c>
      <c r="K19" s="6">
        <v>200</v>
      </c>
      <c r="L19" s="6">
        <v>46</v>
      </c>
      <c r="M19" s="6">
        <v>2.2799999999999998</v>
      </c>
      <c r="N19" s="6">
        <v>9.6999999999999993</v>
      </c>
      <c r="O19" s="6">
        <v>79100</v>
      </c>
      <c r="P19" s="6">
        <v>31000</v>
      </c>
      <c r="Q19" s="6">
        <v>16.3</v>
      </c>
      <c r="R19" s="6">
        <v>10.199999999999999</v>
      </c>
      <c r="S19" s="6">
        <v>4150</v>
      </c>
      <c r="T19" s="6">
        <v>1570</v>
      </c>
      <c r="U19" s="6">
        <v>4690</v>
      </c>
      <c r="V19" s="6">
        <v>2380</v>
      </c>
      <c r="W19" s="6">
        <v>0.83499999999999996</v>
      </c>
      <c r="X19" s="6">
        <v>12</v>
      </c>
      <c r="Y19" s="6">
        <v>9.5399999999999991</v>
      </c>
      <c r="Z19" s="6">
        <v>812</v>
      </c>
      <c r="AA19" s="6">
        <v>299</v>
      </c>
    </row>
    <row r="20" spans="1:27">
      <c r="A20" s="1" t="s">
        <v>51</v>
      </c>
      <c r="B20" s="3">
        <v>374.6</v>
      </c>
      <c r="C20" s="3">
        <v>374.7</v>
      </c>
      <c r="D20" s="3">
        <v>16.5</v>
      </c>
      <c r="E20">
        <v>27</v>
      </c>
      <c r="F20">
        <v>15.2</v>
      </c>
      <c r="G20">
        <v>290.2</v>
      </c>
      <c r="H20">
        <v>17.600000000000001</v>
      </c>
      <c r="I20">
        <v>6.07</v>
      </c>
      <c r="J20">
        <v>10</v>
      </c>
      <c r="K20">
        <v>190</v>
      </c>
      <c r="L20">
        <v>44</v>
      </c>
      <c r="M20">
        <v>2.19</v>
      </c>
      <c r="N20">
        <v>10.8</v>
      </c>
      <c r="O20">
        <v>66300</v>
      </c>
      <c r="P20">
        <v>23700</v>
      </c>
      <c r="Q20">
        <v>16.100000000000001</v>
      </c>
      <c r="R20">
        <v>9.6</v>
      </c>
      <c r="S20">
        <v>3540</v>
      </c>
      <c r="T20">
        <v>1260</v>
      </c>
      <c r="U20">
        <v>3970</v>
      </c>
      <c r="V20">
        <v>1920</v>
      </c>
      <c r="W20">
        <v>0.84399999999999997</v>
      </c>
      <c r="X20">
        <v>13.3</v>
      </c>
      <c r="Y20">
        <v>7.16</v>
      </c>
      <c r="Z20">
        <v>558</v>
      </c>
      <c r="AA20">
        <v>257</v>
      </c>
    </row>
    <row r="21" spans="1:27">
      <c r="A21" s="1" t="s">
        <v>52</v>
      </c>
      <c r="B21" s="3">
        <v>368.2</v>
      </c>
      <c r="C21" s="3">
        <v>372.6</v>
      </c>
      <c r="D21" s="3">
        <v>14.4</v>
      </c>
      <c r="E21">
        <v>23.8</v>
      </c>
      <c r="F21">
        <v>15.2</v>
      </c>
      <c r="G21">
        <v>290.2</v>
      </c>
      <c r="H21">
        <v>20.2</v>
      </c>
      <c r="I21">
        <v>6.89</v>
      </c>
      <c r="J21">
        <v>9</v>
      </c>
      <c r="K21">
        <v>190</v>
      </c>
      <c r="L21">
        <v>40</v>
      </c>
      <c r="M21">
        <v>2.17</v>
      </c>
      <c r="N21">
        <v>12.3</v>
      </c>
      <c r="O21">
        <v>57100</v>
      </c>
      <c r="P21">
        <v>20500</v>
      </c>
      <c r="Q21">
        <v>15.9</v>
      </c>
      <c r="R21">
        <v>9.5399999999999991</v>
      </c>
      <c r="S21">
        <v>3100</v>
      </c>
      <c r="T21">
        <v>1100</v>
      </c>
      <c r="U21">
        <v>3460</v>
      </c>
      <c r="V21">
        <v>1670</v>
      </c>
      <c r="W21">
        <v>0.84299999999999997</v>
      </c>
      <c r="X21">
        <v>15</v>
      </c>
      <c r="Y21">
        <v>6.09</v>
      </c>
      <c r="Z21">
        <v>381</v>
      </c>
      <c r="AA21">
        <v>226</v>
      </c>
    </row>
    <row r="22" spans="1:27">
      <c r="A22" s="1" t="s">
        <v>53</v>
      </c>
      <c r="B22" s="3">
        <v>362</v>
      </c>
      <c r="C22" s="3">
        <v>370.5</v>
      </c>
      <c r="D22" s="3">
        <v>12.3</v>
      </c>
      <c r="E22">
        <v>20.7</v>
      </c>
      <c r="F22">
        <v>15.2</v>
      </c>
      <c r="G22">
        <v>290.2</v>
      </c>
      <c r="H22">
        <v>23.6</v>
      </c>
      <c r="I22">
        <v>7.92</v>
      </c>
      <c r="J22">
        <v>8</v>
      </c>
      <c r="K22">
        <v>190</v>
      </c>
      <c r="L22">
        <v>36</v>
      </c>
      <c r="M22">
        <v>2.16</v>
      </c>
      <c r="N22">
        <v>14.1</v>
      </c>
      <c r="O22">
        <v>48600</v>
      </c>
      <c r="P22">
        <v>17600</v>
      </c>
      <c r="Q22">
        <v>15.8</v>
      </c>
      <c r="R22">
        <v>9.49</v>
      </c>
      <c r="S22">
        <v>2680</v>
      </c>
      <c r="T22">
        <v>948</v>
      </c>
      <c r="U22">
        <v>2960</v>
      </c>
      <c r="V22">
        <v>1430</v>
      </c>
      <c r="W22">
        <v>0.84299999999999997</v>
      </c>
      <c r="X22">
        <v>17</v>
      </c>
      <c r="Y22">
        <v>5.1100000000000003</v>
      </c>
      <c r="Z22">
        <v>251</v>
      </c>
      <c r="AA22">
        <v>195</v>
      </c>
    </row>
    <row r="23" spans="1:27">
      <c r="A23" s="1" t="s">
        <v>54</v>
      </c>
      <c r="B23" s="3">
        <v>355.6</v>
      </c>
      <c r="C23" s="3">
        <v>368.6</v>
      </c>
      <c r="D23" s="3">
        <v>10.4</v>
      </c>
      <c r="E23">
        <v>17.5</v>
      </c>
      <c r="F23">
        <v>15.2</v>
      </c>
      <c r="G23">
        <v>290.2</v>
      </c>
      <c r="H23">
        <v>27.9</v>
      </c>
      <c r="I23">
        <v>9.3699999999999992</v>
      </c>
      <c r="J23">
        <v>7</v>
      </c>
      <c r="K23">
        <v>190</v>
      </c>
      <c r="L23">
        <v>34</v>
      </c>
      <c r="M23">
        <v>2.14</v>
      </c>
      <c r="N23">
        <v>16.600000000000001</v>
      </c>
      <c r="O23">
        <v>40200</v>
      </c>
      <c r="P23">
        <v>14600</v>
      </c>
      <c r="Q23">
        <v>15.6</v>
      </c>
      <c r="R23">
        <v>9.43</v>
      </c>
      <c r="S23">
        <v>2260</v>
      </c>
      <c r="T23">
        <v>793</v>
      </c>
      <c r="U23">
        <v>2480</v>
      </c>
      <c r="V23">
        <v>1200</v>
      </c>
      <c r="W23">
        <v>0.84499999999999997</v>
      </c>
      <c r="X23">
        <v>19.8</v>
      </c>
      <c r="Y23">
        <v>4.18</v>
      </c>
      <c r="Z23">
        <v>153</v>
      </c>
      <c r="AA23">
        <v>164</v>
      </c>
    </row>
    <row r="24" spans="1:27">
      <c r="A24" s="1" t="s">
        <v>55</v>
      </c>
      <c r="B24" s="3">
        <v>365.3</v>
      </c>
      <c r="C24" s="3">
        <v>322.2</v>
      </c>
      <c r="D24" s="3">
        <v>26.8</v>
      </c>
      <c r="E24">
        <v>44.1</v>
      </c>
      <c r="F24">
        <v>15.2</v>
      </c>
      <c r="G24">
        <v>246.7</v>
      </c>
      <c r="H24">
        <v>9.2100000000000009</v>
      </c>
      <c r="I24">
        <v>3</v>
      </c>
      <c r="J24">
        <v>15</v>
      </c>
      <c r="K24">
        <v>158</v>
      </c>
      <c r="L24">
        <v>60</v>
      </c>
      <c r="M24">
        <v>1.94</v>
      </c>
      <c r="N24">
        <v>6.86</v>
      </c>
      <c r="O24">
        <v>78900</v>
      </c>
      <c r="P24">
        <v>24600</v>
      </c>
      <c r="Q24">
        <v>14.8</v>
      </c>
      <c r="R24">
        <v>8.27</v>
      </c>
      <c r="S24">
        <v>4320</v>
      </c>
      <c r="T24">
        <v>1530</v>
      </c>
      <c r="U24">
        <v>5110</v>
      </c>
      <c r="V24">
        <v>2340</v>
      </c>
      <c r="W24">
        <v>0.85599999999999998</v>
      </c>
      <c r="X24">
        <v>7.65</v>
      </c>
      <c r="Y24">
        <v>6.35</v>
      </c>
      <c r="Z24">
        <v>2030</v>
      </c>
      <c r="AA24">
        <v>360</v>
      </c>
    </row>
    <row r="25" spans="1:27">
      <c r="A25" s="1" t="s">
        <v>56</v>
      </c>
      <c r="B25" s="3">
        <v>352.5</v>
      </c>
      <c r="C25" s="3">
        <v>318.39999999999998</v>
      </c>
      <c r="D25" s="3">
        <v>23</v>
      </c>
      <c r="E25">
        <v>37.700000000000003</v>
      </c>
      <c r="F25">
        <v>15.2</v>
      </c>
      <c r="G25">
        <v>246.7</v>
      </c>
      <c r="H25">
        <v>10.7</v>
      </c>
      <c r="I25">
        <v>3.51</v>
      </c>
      <c r="J25">
        <v>14</v>
      </c>
      <c r="K25">
        <v>158</v>
      </c>
      <c r="L25">
        <v>54</v>
      </c>
      <c r="M25">
        <v>1.91</v>
      </c>
      <c r="N25">
        <v>7.96</v>
      </c>
      <c r="O25">
        <v>64200</v>
      </c>
      <c r="P25">
        <v>20300</v>
      </c>
      <c r="Q25">
        <v>14.5</v>
      </c>
      <c r="R25">
        <v>8.15</v>
      </c>
      <c r="S25">
        <v>3640</v>
      </c>
      <c r="T25">
        <v>1280</v>
      </c>
      <c r="U25">
        <v>4250</v>
      </c>
      <c r="V25">
        <v>1950</v>
      </c>
      <c r="W25">
        <v>0.85399999999999998</v>
      </c>
      <c r="X25">
        <v>8.74</v>
      </c>
      <c r="Y25">
        <v>5.03</v>
      </c>
      <c r="Z25">
        <v>1270</v>
      </c>
      <c r="AA25">
        <v>306</v>
      </c>
    </row>
    <row r="26" spans="1:27">
      <c r="A26" s="4" t="s">
        <v>57</v>
      </c>
      <c r="B26" s="5">
        <v>339.9</v>
      </c>
      <c r="C26" s="5">
        <v>314.5</v>
      </c>
      <c r="D26" s="5">
        <v>19.100000000000001</v>
      </c>
      <c r="E26" s="6">
        <v>31.4</v>
      </c>
      <c r="F26" s="6">
        <v>15.2</v>
      </c>
      <c r="G26" s="6">
        <v>246.7</v>
      </c>
      <c r="H26" s="6">
        <v>12.9</v>
      </c>
      <c r="I26" s="6">
        <v>4.22</v>
      </c>
      <c r="J26" s="6">
        <v>12</v>
      </c>
      <c r="K26" s="6">
        <v>158</v>
      </c>
      <c r="L26" s="6">
        <v>48</v>
      </c>
      <c r="M26" s="6">
        <v>1.87</v>
      </c>
      <c r="N26" s="6">
        <v>9.44</v>
      </c>
      <c r="O26" s="6">
        <v>50900</v>
      </c>
      <c r="P26" s="6">
        <v>16300</v>
      </c>
      <c r="Q26" s="6">
        <v>14.2</v>
      </c>
      <c r="R26" s="6">
        <v>8.0399999999999991</v>
      </c>
      <c r="S26" s="6">
        <v>3000</v>
      </c>
      <c r="T26" s="6">
        <v>1040</v>
      </c>
      <c r="U26" s="6">
        <v>3440</v>
      </c>
      <c r="V26" s="6">
        <v>1580</v>
      </c>
      <c r="W26" s="6">
        <v>0.85399999999999998</v>
      </c>
      <c r="X26" s="6">
        <v>10.199999999999999</v>
      </c>
      <c r="Y26" s="6">
        <v>3.88</v>
      </c>
      <c r="Z26" s="6">
        <v>734</v>
      </c>
      <c r="AA26" s="6">
        <v>252</v>
      </c>
    </row>
    <row r="27" spans="1:27">
      <c r="A27" s="1" t="s">
        <v>58</v>
      </c>
      <c r="B27" s="3">
        <v>327.10000000000002</v>
      </c>
      <c r="C27" s="3">
        <v>311.2</v>
      </c>
      <c r="D27" s="3">
        <v>15.8</v>
      </c>
      <c r="E27">
        <v>25</v>
      </c>
      <c r="F27">
        <v>15.2</v>
      </c>
      <c r="G27">
        <v>246.7</v>
      </c>
      <c r="H27">
        <v>15.6</v>
      </c>
      <c r="I27">
        <v>5.3</v>
      </c>
      <c r="J27">
        <v>10</v>
      </c>
      <c r="K27">
        <v>158</v>
      </c>
      <c r="L27">
        <v>42</v>
      </c>
      <c r="M27">
        <v>1.84</v>
      </c>
      <c r="N27">
        <v>11.6</v>
      </c>
      <c r="O27">
        <v>38700</v>
      </c>
      <c r="P27">
        <v>12600</v>
      </c>
      <c r="Q27">
        <v>13.9</v>
      </c>
      <c r="R27">
        <v>7.9</v>
      </c>
      <c r="S27">
        <v>2370</v>
      </c>
      <c r="T27">
        <v>808</v>
      </c>
      <c r="U27">
        <v>2680</v>
      </c>
      <c r="V27">
        <v>1230</v>
      </c>
      <c r="W27">
        <v>0.85199999999999998</v>
      </c>
      <c r="X27">
        <v>12.4</v>
      </c>
      <c r="Y27">
        <v>2.87</v>
      </c>
      <c r="Z27">
        <v>378</v>
      </c>
      <c r="AA27">
        <v>201</v>
      </c>
    </row>
    <row r="28" spans="1:27">
      <c r="A28" s="1" t="s">
        <v>59</v>
      </c>
      <c r="B28" s="3">
        <v>320.5</v>
      </c>
      <c r="C28" s="3">
        <v>309.2</v>
      </c>
      <c r="D28" s="3">
        <v>13.8</v>
      </c>
      <c r="E28">
        <v>21.7</v>
      </c>
      <c r="F28">
        <v>15.2</v>
      </c>
      <c r="G28">
        <v>246.7</v>
      </c>
      <c r="H28">
        <v>17.899999999999999</v>
      </c>
      <c r="I28">
        <v>6.11</v>
      </c>
      <c r="J28">
        <v>9</v>
      </c>
      <c r="K28">
        <v>158</v>
      </c>
      <c r="L28">
        <v>38</v>
      </c>
      <c r="M28">
        <v>1.82</v>
      </c>
      <c r="N28">
        <v>13.3</v>
      </c>
      <c r="O28">
        <v>32800</v>
      </c>
      <c r="P28">
        <v>10700</v>
      </c>
      <c r="Q28">
        <v>13.7</v>
      </c>
      <c r="R28">
        <v>7.83</v>
      </c>
      <c r="S28">
        <v>2050</v>
      </c>
      <c r="T28">
        <v>692</v>
      </c>
      <c r="U28">
        <v>2300</v>
      </c>
      <c r="V28">
        <v>1050</v>
      </c>
      <c r="W28">
        <v>0.85199999999999998</v>
      </c>
      <c r="X28">
        <v>14.1</v>
      </c>
      <c r="Y28">
        <v>2.39</v>
      </c>
      <c r="Z28">
        <v>249</v>
      </c>
      <c r="AA28">
        <v>174</v>
      </c>
    </row>
    <row r="29" spans="1:27">
      <c r="A29" s="1" t="s">
        <v>60</v>
      </c>
      <c r="B29" s="3">
        <v>314.5</v>
      </c>
      <c r="C29" s="3">
        <v>307.39999999999998</v>
      </c>
      <c r="D29" s="3">
        <v>12</v>
      </c>
      <c r="E29">
        <v>18.7</v>
      </c>
      <c r="F29">
        <v>15.2</v>
      </c>
      <c r="G29">
        <v>246.7</v>
      </c>
      <c r="H29">
        <v>20.6</v>
      </c>
      <c r="I29">
        <v>7.09</v>
      </c>
      <c r="J29">
        <v>8</v>
      </c>
      <c r="K29">
        <v>158</v>
      </c>
      <c r="L29">
        <v>34</v>
      </c>
      <c r="M29">
        <v>1.81</v>
      </c>
      <c r="N29">
        <v>15.4</v>
      </c>
      <c r="O29">
        <v>27700</v>
      </c>
      <c r="P29">
        <v>9060</v>
      </c>
      <c r="Q29">
        <v>13.6</v>
      </c>
      <c r="R29">
        <v>7.77</v>
      </c>
      <c r="S29">
        <v>1760</v>
      </c>
      <c r="T29">
        <v>589</v>
      </c>
      <c r="U29">
        <v>1960</v>
      </c>
      <c r="V29">
        <v>895</v>
      </c>
      <c r="W29">
        <v>0.85199999999999998</v>
      </c>
      <c r="X29">
        <v>16.100000000000001</v>
      </c>
      <c r="Y29">
        <v>1.98</v>
      </c>
      <c r="Z29">
        <v>161</v>
      </c>
      <c r="AA29">
        <v>150</v>
      </c>
    </row>
    <row r="30" spans="1:27">
      <c r="A30" s="1" t="s">
        <v>61</v>
      </c>
      <c r="B30" s="3">
        <v>307.89999999999998</v>
      </c>
      <c r="C30" s="3">
        <v>305.3</v>
      </c>
      <c r="D30" s="3">
        <v>9.9</v>
      </c>
      <c r="E30">
        <v>15.4</v>
      </c>
      <c r="F30">
        <v>15.2</v>
      </c>
      <c r="G30">
        <v>246.7</v>
      </c>
      <c r="H30">
        <v>24.9</v>
      </c>
      <c r="I30">
        <v>8.6</v>
      </c>
      <c r="J30">
        <v>7</v>
      </c>
      <c r="K30">
        <v>158</v>
      </c>
      <c r="L30">
        <v>32</v>
      </c>
      <c r="M30">
        <v>1.79</v>
      </c>
      <c r="N30">
        <v>18.5</v>
      </c>
      <c r="O30">
        <v>22200</v>
      </c>
      <c r="P30">
        <v>7310</v>
      </c>
      <c r="Q30">
        <v>13.4</v>
      </c>
      <c r="R30">
        <v>7.69</v>
      </c>
      <c r="S30">
        <v>1450</v>
      </c>
      <c r="T30">
        <v>479</v>
      </c>
      <c r="U30">
        <v>1590</v>
      </c>
      <c r="V30">
        <v>726</v>
      </c>
      <c r="W30">
        <v>0.85099999999999998</v>
      </c>
      <c r="X30">
        <v>19.2</v>
      </c>
      <c r="Y30">
        <v>1.56</v>
      </c>
      <c r="Z30">
        <v>91.2</v>
      </c>
      <c r="AA30">
        <v>123</v>
      </c>
    </row>
    <row r="31" spans="1:27">
      <c r="A31" s="4" t="s">
        <v>62</v>
      </c>
      <c r="B31" s="5">
        <v>289.10000000000002</v>
      </c>
      <c r="C31" s="5">
        <v>265.2</v>
      </c>
      <c r="D31" s="5">
        <v>19.2</v>
      </c>
      <c r="E31" s="6">
        <v>31.7</v>
      </c>
      <c r="F31" s="6">
        <v>12.7</v>
      </c>
      <c r="G31" s="6">
        <v>200.3</v>
      </c>
      <c r="H31" s="6">
        <v>10.4</v>
      </c>
      <c r="I31" s="6">
        <v>3.48</v>
      </c>
      <c r="J31" s="6">
        <v>12</v>
      </c>
      <c r="K31" s="6">
        <v>134</v>
      </c>
      <c r="L31" s="6">
        <v>46</v>
      </c>
      <c r="M31" s="6">
        <v>1.58</v>
      </c>
      <c r="N31" s="6">
        <v>9.4600000000000009</v>
      </c>
      <c r="O31" s="6">
        <v>30000</v>
      </c>
      <c r="P31" s="6">
        <v>9870</v>
      </c>
      <c r="Q31" s="6">
        <v>11.9</v>
      </c>
      <c r="R31" s="6">
        <v>6.81</v>
      </c>
      <c r="S31" s="6">
        <v>2080</v>
      </c>
      <c r="T31" s="6">
        <v>744</v>
      </c>
      <c r="U31" s="6">
        <v>2420</v>
      </c>
      <c r="V31" s="6">
        <v>1140</v>
      </c>
      <c r="W31" s="6">
        <v>0.85099999999999998</v>
      </c>
      <c r="X31" s="6">
        <v>8.48</v>
      </c>
      <c r="Y31" s="6">
        <v>1.63</v>
      </c>
      <c r="Z31" s="6">
        <v>626</v>
      </c>
      <c r="AA31" s="6">
        <v>213</v>
      </c>
    </row>
    <row r="32" spans="1:27">
      <c r="A32" s="1" t="s">
        <v>63</v>
      </c>
      <c r="B32" s="3">
        <v>276.3</v>
      </c>
      <c r="C32" s="3">
        <v>261.3</v>
      </c>
      <c r="D32" s="3">
        <v>15.3</v>
      </c>
      <c r="E32">
        <v>25.3</v>
      </c>
      <c r="F32">
        <v>12.7</v>
      </c>
      <c r="G32">
        <v>200.3</v>
      </c>
      <c r="H32">
        <v>13.1</v>
      </c>
      <c r="I32">
        <v>4.3600000000000003</v>
      </c>
      <c r="J32">
        <v>10</v>
      </c>
      <c r="K32">
        <v>134</v>
      </c>
      <c r="L32">
        <v>38</v>
      </c>
      <c r="M32">
        <v>1.55</v>
      </c>
      <c r="N32">
        <v>11.7</v>
      </c>
      <c r="O32">
        <v>22500</v>
      </c>
      <c r="P32">
        <v>7530</v>
      </c>
      <c r="Q32">
        <v>11.6</v>
      </c>
      <c r="R32">
        <v>6.69</v>
      </c>
      <c r="S32">
        <v>1630</v>
      </c>
      <c r="T32">
        <v>576</v>
      </c>
      <c r="U32">
        <v>1870</v>
      </c>
      <c r="V32">
        <v>878</v>
      </c>
      <c r="W32">
        <v>0.85</v>
      </c>
      <c r="X32">
        <v>10.3</v>
      </c>
      <c r="Y32">
        <v>1.19</v>
      </c>
      <c r="Z32">
        <v>319</v>
      </c>
      <c r="AA32">
        <v>168</v>
      </c>
    </row>
    <row r="33" spans="1:27">
      <c r="A33" s="1" t="s">
        <v>64</v>
      </c>
      <c r="B33" s="3">
        <v>266.7</v>
      </c>
      <c r="C33" s="3">
        <v>258.8</v>
      </c>
      <c r="D33" s="3">
        <v>12.8</v>
      </c>
      <c r="E33">
        <v>20.5</v>
      </c>
      <c r="F33">
        <v>12.7</v>
      </c>
      <c r="G33">
        <v>200.3</v>
      </c>
      <c r="H33">
        <v>15.6</v>
      </c>
      <c r="I33">
        <v>5.38</v>
      </c>
      <c r="J33">
        <v>8</v>
      </c>
      <c r="K33">
        <v>134</v>
      </c>
      <c r="L33">
        <v>34</v>
      </c>
      <c r="M33">
        <v>1.52</v>
      </c>
      <c r="N33">
        <v>14.2</v>
      </c>
      <c r="O33">
        <v>17500</v>
      </c>
      <c r="P33">
        <v>5930</v>
      </c>
      <c r="Q33">
        <v>11.3</v>
      </c>
      <c r="R33">
        <v>6.59</v>
      </c>
      <c r="S33">
        <v>1310</v>
      </c>
      <c r="T33">
        <v>458</v>
      </c>
      <c r="U33">
        <v>1480</v>
      </c>
      <c r="V33">
        <v>697</v>
      </c>
      <c r="W33">
        <v>0.84799999999999998</v>
      </c>
      <c r="X33">
        <v>12.4</v>
      </c>
      <c r="Y33">
        <v>0.89800000000000002</v>
      </c>
      <c r="Z33">
        <v>172</v>
      </c>
      <c r="AA33">
        <v>136</v>
      </c>
    </row>
    <row r="34" spans="1:27">
      <c r="A34" s="1" t="s">
        <v>65</v>
      </c>
      <c r="B34" s="3">
        <v>260.3</v>
      </c>
      <c r="C34" s="3">
        <v>256.3</v>
      </c>
      <c r="D34" s="3">
        <v>10.3</v>
      </c>
      <c r="E34">
        <v>17.3</v>
      </c>
      <c r="F34">
        <v>12.7</v>
      </c>
      <c r="G34">
        <v>200.3</v>
      </c>
      <c r="H34">
        <v>19.399999999999999</v>
      </c>
      <c r="I34">
        <v>6.38</v>
      </c>
      <c r="J34">
        <v>7</v>
      </c>
      <c r="K34">
        <v>134</v>
      </c>
      <c r="L34">
        <v>30</v>
      </c>
      <c r="M34">
        <v>1.5</v>
      </c>
      <c r="N34">
        <v>16.899999999999999</v>
      </c>
      <c r="O34">
        <v>14300</v>
      </c>
      <c r="P34">
        <v>4860</v>
      </c>
      <c r="Q34">
        <v>11.2</v>
      </c>
      <c r="R34">
        <v>6.55</v>
      </c>
      <c r="S34">
        <v>1100</v>
      </c>
      <c r="T34">
        <v>379</v>
      </c>
      <c r="U34">
        <v>1220</v>
      </c>
      <c r="V34">
        <v>575</v>
      </c>
      <c r="W34">
        <v>0.85</v>
      </c>
      <c r="X34">
        <v>14.5</v>
      </c>
      <c r="Y34">
        <v>0.71699999999999997</v>
      </c>
      <c r="Z34">
        <v>102</v>
      </c>
      <c r="AA34">
        <v>113</v>
      </c>
    </row>
    <row r="35" spans="1:27">
      <c r="A35" s="1" t="s">
        <v>66</v>
      </c>
      <c r="B35" s="3">
        <v>254.1</v>
      </c>
      <c r="C35" s="3">
        <v>254.6</v>
      </c>
      <c r="D35" s="3">
        <v>8.6</v>
      </c>
      <c r="E35">
        <v>14.2</v>
      </c>
      <c r="F35">
        <v>12.7</v>
      </c>
      <c r="G35">
        <v>200.3</v>
      </c>
      <c r="H35">
        <v>23.3</v>
      </c>
      <c r="I35">
        <v>7.77</v>
      </c>
      <c r="J35">
        <v>6</v>
      </c>
      <c r="K35">
        <v>134</v>
      </c>
      <c r="L35">
        <v>28</v>
      </c>
      <c r="M35">
        <v>1.49</v>
      </c>
      <c r="N35">
        <v>20.399999999999999</v>
      </c>
      <c r="O35">
        <v>11400</v>
      </c>
      <c r="P35">
        <v>3910</v>
      </c>
      <c r="Q35">
        <v>11.1</v>
      </c>
      <c r="R35">
        <v>6.48</v>
      </c>
      <c r="S35">
        <v>898</v>
      </c>
      <c r="T35">
        <v>307</v>
      </c>
      <c r="U35">
        <v>992</v>
      </c>
      <c r="V35">
        <v>465</v>
      </c>
      <c r="W35">
        <v>0.84899999999999998</v>
      </c>
      <c r="X35">
        <v>17.2</v>
      </c>
      <c r="Y35">
        <v>0.56200000000000006</v>
      </c>
      <c r="Z35">
        <v>57.6</v>
      </c>
      <c r="AA35">
        <v>93.1</v>
      </c>
    </row>
    <row r="36" spans="1:27">
      <c r="A36" s="1" t="s">
        <v>67</v>
      </c>
      <c r="B36" s="3">
        <v>241.4</v>
      </c>
      <c r="C36" s="3">
        <v>213.9</v>
      </c>
      <c r="D36" s="3">
        <v>18.100000000000001</v>
      </c>
      <c r="E36">
        <v>30.1</v>
      </c>
      <c r="F36">
        <v>10.199999999999999</v>
      </c>
      <c r="G36">
        <v>160.80000000000001</v>
      </c>
      <c r="H36">
        <v>8.8800000000000008</v>
      </c>
      <c r="I36">
        <v>2.91</v>
      </c>
      <c r="J36">
        <v>11</v>
      </c>
      <c r="K36">
        <v>108</v>
      </c>
      <c r="L36">
        <v>42</v>
      </c>
      <c r="M36">
        <v>1.28</v>
      </c>
      <c r="N36">
        <v>10</v>
      </c>
      <c r="O36">
        <v>15400</v>
      </c>
      <c r="P36">
        <v>4920</v>
      </c>
      <c r="Q36">
        <v>9.75</v>
      </c>
      <c r="R36">
        <v>5.5</v>
      </c>
      <c r="S36">
        <v>1280</v>
      </c>
      <c r="T36">
        <v>460</v>
      </c>
      <c r="U36">
        <v>1520</v>
      </c>
      <c r="V36">
        <v>704</v>
      </c>
      <c r="W36">
        <v>0.85599999999999998</v>
      </c>
      <c r="X36">
        <v>7.36</v>
      </c>
      <c r="Y36">
        <v>0.54900000000000004</v>
      </c>
      <c r="Z36">
        <v>427</v>
      </c>
      <c r="AA36">
        <v>162</v>
      </c>
    </row>
    <row r="37" spans="1:27">
      <c r="A37" s="1" t="s">
        <v>68</v>
      </c>
      <c r="B37" s="3">
        <v>235</v>
      </c>
      <c r="C37" s="3">
        <v>212.1</v>
      </c>
      <c r="D37" s="3">
        <v>16.3</v>
      </c>
      <c r="E37">
        <v>26.9</v>
      </c>
      <c r="F37">
        <v>10.199999999999999</v>
      </c>
      <c r="G37">
        <v>160.80000000000001</v>
      </c>
      <c r="H37">
        <v>9.8699999999999992</v>
      </c>
      <c r="I37">
        <v>3.26</v>
      </c>
      <c r="J37">
        <v>10</v>
      </c>
      <c r="K37">
        <v>108</v>
      </c>
      <c r="L37">
        <v>38</v>
      </c>
      <c r="M37">
        <v>1.27</v>
      </c>
      <c r="N37">
        <v>11.2</v>
      </c>
      <c r="O37">
        <v>13300</v>
      </c>
      <c r="P37">
        <v>4290</v>
      </c>
      <c r="Q37">
        <v>9.59</v>
      </c>
      <c r="R37">
        <v>5.45</v>
      </c>
      <c r="S37">
        <v>1130</v>
      </c>
      <c r="T37">
        <v>404</v>
      </c>
      <c r="U37">
        <v>1330</v>
      </c>
      <c r="V37">
        <v>618</v>
      </c>
      <c r="W37">
        <v>0.85199999999999998</v>
      </c>
      <c r="X37">
        <v>8.11</v>
      </c>
      <c r="Y37">
        <v>0.46400000000000002</v>
      </c>
      <c r="Z37">
        <v>305</v>
      </c>
      <c r="AA37">
        <v>145</v>
      </c>
    </row>
    <row r="38" spans="1:27">
      <c r="A38" s="1" t="s">
        <v>69</v>
      </c>
      <c r="B38" s="3">
        <v>228.6</v>
      </c>
      <c r="C38" s="3">
        <v>210.3</v>
      </c>
      <c r="D38" s="3">
        <v>14.5</v>
      </c>
      <c r="E38">
        <v>23.7</v>
      </c>
      <c r="F38">
        <v>10.199999999999999</v>
      </c>
      <c r="G38">
        <v>160.80000000000001</v>
      </c>
      <c r="H38">
        <v>11.1</v>
      </c>
      <c r="I38">
        <v>3.7</v>
      </c>
      <c r="J38">
        <v>9</v>
      </c>
      <c r="K38">
        <v>108</v>
      </c>
      <c r="L38">
        <v>34</v>
      </c>
      <c r="M38">
        <v>1.25</v>
      </c>
      <c r="N38">
        <v>12.6</v>
      </c>
      <c r="O38">
        <v>11300</v>
      </c>
      <c r="P38">
        <v>3680</v>
      </c>
      <c r="Q38">
        <v>9.44</v>
      </c>
      <c r="R38">
        <v>5.39</v>
      </c>
      <c r="S38">
        <v>988</v>
      </c>
      <c r="T38">
        <v>350</v>
      </c>
      <c r="U38">
        <v>1150</v>
      </c>
      <c r="V38">
        <v>534</v>
      </c>
      <c r="W38">
        <v>0.85199999999999998</v>
      </c>
      <c r="X38">
        <v>9.01</v>
      </c>
      <c r="Y38">
        <v>0.38600000000000001</v>
      </c>
      <c r="Z38">
        <v>210</v>
      </c>
      <c r="AA38">
        <v>127</v>
      </c>
    </row>
    <row r="39" spans="1:27">
      <c r="A39" s="4" t="s">
        <v>70</v>
      </c>
      <c r="B39" s="5">
        <v>222.2</v>
      </c>
      <c r="C39" s="5">
        <v>209.1</v>
      </c>
      <c r="D39" s="5">
        <v>12.7</v>
      </c>
      <c r="E39" s="6">
        <v>20.5</v>
      </c>
      <c r="F39" s="6">
        <v>10.199999999999999</v>
      </c>
      <c r="G39" s="6">
        <v>160.80000000000001</v>
      </c>
      <c r="H39" s="6">
        <v>12.7</v>
      </c>
      <c r="I39" s="6">
        <v>4.29</v>
      </c>
      <c r="J39" s="6">
        <v>8</v>
      </c>
      <c r="K39" s="6">
        <v>110</v>
      </c>
      <c r="L39" s="6">
        <v>32</v>
      </c>
      <c r="M39" s="6">
        <v>1.24</v>
      </c>
      <c r="N39" s="6">
        <v>14.4</v>
      </c>
      <c r="O39" s="6">
        <v>9450</v>
      </c>
      <c r="P39" s="6">
        <v>3130</v>
      </c>
      <c r="Q39" s="6">
        <v>9.2799999999999994</v>
      </c>
      <c r="R39" s="6">
        <v>5.34</v>
      </c>
      <c r="S39" s="6">
        <v>850</v>
      </c>
      <c r="T39" s="6">
        <v>299</v>
      </c>
      <c r="U39" s="6">
        <v>977</v>
      </c>
      <c r="V39" s="6">
        <v>456</v>
      </c>
      <c r="W39" s="6">
        <v>0.84899999999999998</v>
      </c>
      <c r="X39" s="6">
        <v>10.199999999999999</v>
      </c>
      <c r="Y39" s="6">
        <v>0.318</v>
      </c>
      <c r="Z39" s="6">
        <v>137</v>
      </c>
      <c r="AA39" s="6">
        <v>110</v>
      </c>
    </row>
    <row r="40" spans="1:27">
      <c r="A40" s="1" t="s">
        <v>71</v>
      </c>
      <c r="B40" s="3">
        <v>215.8</v>
      </c>
      <c r="C40" s="3">
        <v>206.4</v>
      </c>
      <c r="D40" s="3">
        <v>10</v>
      </c>
      <c r="E40">
        <v>17.3</v>
      </c>
      <c r="F40">
        <v>10.199999999999999</v>
      </c>
      <c r="G40">
        <v>160.80000000000001</v>
      </c>
      <c r="H40">
        <v>16.100000000000001</v>
      </c>
      <c r="I40">
        <v>5.09</v>
      </c>
      <c r="J40">
        <v>7</v>
      </c>
      <c r="K40">
        <v>110</v>
      </c>
      <c r="L40">
        <v>28</v>
      </c>
      <c r="M40">
        <v>1.22</v>
      </c>
      <c r="N40">
        <v>17.2</v>
      </c>
      <c r="O40">
        <v>7620</v>
      </c>
      <c r="P40">
        <v>2540</v>
      </c>
      <c r="Q40">
        <v>9.18</v>
      </c>
      <c r="R40">
        <v>5.3</v>
      </c>
      <c r="S40">
        <v>706</v>
      </c>
      <c r="T40">
        <v>246</v>
      </c>
      <c r="U40">
        <v>799</v>
      </c>
      <c r="V40">
        <v>374</v>
      </c>
      <c r="W40">
        <v>0.85299999999999998</v>
      </c>
      <c r="X40">
        <v>11.9</v>
      </c>
      <c r="Y40">
        <v>0.25</v>
      </c>
      <c r="Z40">
        <v>80.2</v>
      </c>
      <c r="AA40">
        <v>90.4</v>
      </c>
    </row>
    <row r="41" spans="1:27">
      <c r="A41" s="1" t="s">
        <v>72</v>
      </c>
      <c r="B41" s="3">
        <v>209.6</v>
      </c>
      <c r="C41" s="3">
        <v>205.8</v>
      </c>
      <c r="D41" s="3">
        <v>9.4</v>
      </c>
      <c r="E41">
        <v>14.2</v>
      </c>
      <c r="F41">
        <v>10.199999999999999</v>
      </c>
      <c r="G41">
        <v>160.80000000000001</v>
      </c>
      <c r="H41">
        <v>17.100000000000001</v>
      </c>
      <c r="I41">
        <v>6.2</v>
      </c>
      <c r="J41">
        <v>7</v>
      </c>
      <c r="K41">
        <v>110</v>
      </c>
      <c r="L41">
        <v>26</v>
      </c>
      <c r="M41">
        <v>1.21</v>
      </c>
      <c r="N41">
        <v>20.2</v>
      </c>
      <c r="O41">
        <v>6120</v>
      </c>
      <c r="P41">
        <v>2060</v>
      </c>
      <c r="Q41">
        <v>8.9600000000000009</v>
      </c>
      <c r="R41">
        <v>5.2</v>
      </c>
      <c r="S41">
        <v>584</v>
      </c>
      <c r="T41">
        <v>201</v>
      </c>
      <c r="U41">
        <v>656</v>
      </c>
      <c r="V41">
        <v>305</v>
      </c>
      <c r="W41">
        <v>0.84599999999999997</v>
      </c>
      <c r="X41">
        <v>14.1</v>
      </c>
      <c r="Y41">
        <v>0.19700000000000001</v>
      </c>
      <c r="Z41">
        <v>47.2</v>
      </c>
      <c r="AA41">
        <v>76.400000000000006</v>
      </c>
    </row>
    <row r="42" spans="1:27">
      <c r="A42" s="1" t="s">
        <v>73</v>
      </c>
      <c r="B42" s="3">
        <v>206.2</v>
      </c>
      <c r="C42" s="3">
        <v>204.3</v>
      </c>
      <c r="D42" s="3">
        <v>7.9</v>
      </c>
      <c r="E42">
        <v>12.5</v>
      </c>
      <c r="F42">
        <v>10.199999999999999</v>
      </c>
      <c r="G42">
        <v>160.80000000000001</v>
      </c>
      <c r="H42">
        <v>20.399999999999999</v>
      </c>
      <c r="I42">
        <v>7.04</v>
      </c>
      <c r="J42">
        <v>6</v>
      </c>
      <c r="K42">
        <v>110</v>
      </c>
      <c r="L42">
        <v>24</v>
      </c>
      <c r="M42">
        <v>1.2</v>
      </c>
      <c r="N42">
        <v>23.1</v>
      </c>
      <c r="O42">
        <v>5260</v>
      </c>
      <c r="P42">
        <v>1780</v>
      </c>
      <c r="Q42">
        <v>8.91</v>
      </c>
      <c r="R42">
        <v>5.18</v>
      </c>
      <c r="S42">
        <v>510</v>
      </c>
      <c r="T42">
        <v>174</v>
      </c>
      <c r="U42">
        <v>567</v>
      </c>
      <c r="V42">
        <v>264</v>
      </c>
      <c r="W42">
        <v>0.84699999999999998</v>
      </c>
      <c r="X42">
        <v>15.8</v>
      </c>
      <c r="Y42">
        <v>0.16700000000000001</v>
      </c>
      <c r="Z42">
        <v>31.8</v>
      </c>
      <c r="AA42">
        <v>66.3</v>
      </c>
    </row>
    <row r="43" spans="1:27">
      <c r="A43" s="1" t="s">
        <v>74</v>
      </c>
      <c r="B43" s="3">
        <v>203.2</v>
      </c>
      <c r="C43" s="3">
        <v>203.6</v>
      </c>
      <c r="D43" s="3">
        <v>7.2</v>
      </c>
      <c r="E43">
        <v>11</v>
      </c>
      <c r="F43">
        <v>10.199999999999999</v>
      </c>
      <c r="G43">
        <v>160.80000000000001</v>
      </c>
      <c r="H43">
        <v>22.3</v>
      </c>
      <c r="I43">
        <v>8</v>
      </c>
      <c r="J43">
        <v>6</v>
      </c>
      <c r="K43">
        <v>110</v>
      </c>
      <c r="L43">
        <v>22</v>
      </c>
      <c r="M43">
        <v>1.19</v>
      </c>
      <c r="N43">
        <v>25.8</v>
      </c>
      <c r="O43">
        <v>4570</v>
      </c>
      <c r="P43">
        <v>1550</v>
      </c>
      <c r="Q43">
        <v>8.82</v>
      </c>
      <c r="R43">
        <v>5.13</v>
      </c>
      <c r="S43">
        <v>450</v>
      </c>
      <c r="T43">
        <v>152</v>
      </c>
      <c r="U43">
        <v>497</v>
      </c>
      <c r="V43">
        <v>231</v>
      </c>
      <c r="W43">
        <v>0.84699999999999998</v>
      </c>
      <c r="X43">
        <v>17.7</v>
      </c>
      <c r="Y43">
        <v>0.14299999999999999</v>
      </c>
      <c r="Z43">
        <v>22.2</v>
      </c>
      <c r="AA43">
        <v>58.7</v>
      </c>
    </row>
    <row r="44" spans="1:27">
      <c r="A44" s="4" t="s">
        <v>75</v>
      </c>
      <c r="B44" s="5">
        <v>170.2</v>
      </c>
      <c r="C44" s="5">
        <v>157.4</v>
      </c>
      <c r="D44" s="5">
        <v>11</v>
      </c>
      <c r="E44" s="6">
        <v>15.7</v>
      </c>
      <c r="F44" s="6">
        <v>7.6</v>
      </c>
      <c r="G44" s="6">
        <v>123.6</v>
      </c>
      <c r="H44" s="6">
        <v>11.2</v>
      </c>
      <c r="I44" s="6">
        <v>4.18</v>
      </c>
      <c r="J44" s="6">
        <v>8</v>
      </c>
      <c r="K44" s="6">
        <v>84</v>
      </c>
      <c r="L44" s="6">
        <v>24</v>
      </c>
      <c r="M44" s="6">
        <v>0.93500000000000005</v>
      </c>
      <c r="N44" s="6">
        <v>18.3</v>
      </c>
      <c r="O44" s="6">
        <v>3230</v>
      </c>
      <c r="P44" s="6">
        <v>1020</v>
      </c>
      <c r="Q44" s="6">
        <v>7.04</v>
      </c>
      <c r="R44" s="6">
        <v>3.96</v>
      </c>
      <c r="S44" s="6">
        <v>379</v>
      </c>
      <c r="T44" s="6">
        <v>130</v>
      </c>
      <c r="U44" s="6">
        <v>438</v>
      </c>
      <c r="V44" s="6">
        <v>199</v>
      </c>
      <c r="W44" s="6">
        <v>0.84799999999999998</v>
      </c>
      <c r="X44" s="6">
        <v>10.1</v>
      </c>
      <c r="Y44" s="6">
        <v>6.0999999999999999E-2</v>
      </c>
      <c r="Z44" s="6">
        <v>48.8</v>
      </c>
      <c r="AA44" s="6">
        <v>65.2</v>
      </c>
    </row>
    <row r="45" spans="1:27">
      <c r="A45" s="3" t="s">
        <v>76</v>
      </c>
      <c r="B45">
        <v>166</v>
      </c>
      <c r="C45">
        <v>155.9</v>
      </c>
      <c r="D45">
        <v>9.5</v>
      </c>
      <c r="E45">
        <v>13.6</v>
      </c>
      <c r="F45">
        <v>7.6</v>
      </c>
      <c r="G45">
        <v>123.6</v>
      </c>
      <c r="H45">
        <v>13</v>
      </c>
      <c r="I45">
        <v>4.82</v>
      </c>
      <c r="J45">
        <v>7</v>
      </c>
      <c r="K45">
        <v>84</v>
      </c>
      <c r="L45">
        <v>22</v>
      </c>
      <c r="M45">
        <v>0.92400000000000004</v>
      </c>
      <c r="N45">
        <v>21</v>
      </c>
      <c r="O45">
        <v>2700</v>
      </c>
      <c r="P45">
        <v>860</v>
      </c>
      <c r="Q45">
        <v>6.94</v>
      </c>
      <c r="R45">
        <v>3.92</v>
      </c>
      <c r="S45">
        <v>326</v>
      </c>
      <c r="T45">
        <v>110</v>
      </c>
      <c r="U45">
        <v>372</v>
      </c>
      <c r="V45">
        <v>169</v>
      </c>
      <c r="W45">
        <v>0.84699999999999998</v>
      </c>
      <c r="X45">
        <v>11.5</v>
      </c>
      <c r="Y45">
        <v>0.05</v>
      </c>
      <c r="Z45">
        <v>31.7</v>
      </c>
      <c r="AA45">
        <v>56.1</v>
      </c>
    </row>
    <row r="46" spans="1:27">
      <c r="A46" s="3" t="s">
        <v>77</v>
      </c>
      <c r="B46">
        <v>161.80000000000001</v>
      </c>
      <c r="C46">
        <v>154.4</v>
      </c>
      <c r="D46">
        <v>8</v>
      </c>
      <c r="E46">
        <v>11.5</v>
      </c>
      <c r="F46">
        <v>7.6</v>
      </c>
      <c r="G46">
        <v>123.6</v>
      </c>
      <c r="H46">
        <v>15.5</v>
      </c>
      <c r="I46">
        <v>5.7</v>
      </c>
      <c r="J46">
        <v>6</v>
      </c>
      <c r="K46">
        <v>84</v>
      </c>
      <c r="L46">
        <v>20</v>
      </c>
      <c r="M46">
        <v>0.91200000000000003</v>
      </c>
      <c r="N46">
        <v>24.6</v>
      </c>
      <c r="O46">
        <v>2210</v>
      </c>
      <c r="P46">
        <v>706</v>
      </c>
      <c r="Q46">
        <v>6.85</v>
      </c>
      <c r="R46">
        <v>3.87</v>
      </c>
      <c r="S46">
        <v>273</v>
      </c>
      <c r="T46">
        <v>91.5</v>
      </c>
      <c r="U46">
        <v>309</v>
      </c>
      <c r="V46">
        <v>140</v>
      </c>
      <c r="W46">
        <v>0.84799999999999998</v>
      </c>
      <c r="X46">
        <v>13.3</v>
      </c>
      <c r="Y46">
        <v>0.04</v>
      </c>
      <c r="Z46">
        <v>19.2</v>
      </c>
      <c r="AA46">
        <v>47.1</v>
      </c>
    </row>
    <row r="47" spans="1:27">
      <c r="A47" s="3" t="s">
        <v>78</v>
      </c>
      <c r="B47">
        <v>157.6</v>
      </c>
      <c r="C47">
        <v>152.9</v>
      </c>
      <c r="D47">
        <v>6.5</v>
      </c>
      <c r="E47">
        <v>9.4</v>
      </c>
      <c r="F47">
        <v>7.6</v>
      </c>
      <c r="G47">
        <v>123.6</v>
      </c>
      <c r="H47">
        <v>19</v>
      </c>
      <c r="I47">
        <v>6.98</v>
      </c>
      <c r="J47">
        <v>5</v>
      </c>
      <c r="K47">
        <v>84</v>
      </c>
      <c r="L47">
        <v>18</v>
      </c>
      <c r="M47">
        <v>0.90100000000000002</v>
      </c>
      <c r="N47">
        <v>30</v>
      </c>
      <c r="O47">
        <v>1750</v>
      </c>
      <c r="P47">
        <v>560</v>
      </c>
      <c r="Q47">
        <v>6.76</v>
      </c>
      <c r="R47">
        <v>3.83</v>
      </c>
      <c r="S47">
        <v>222</v>
      </c>
      <c r="T47">
        <v>73.3</v>
      </c>
      <c r="U47">
        <v>248</v>
      </c>
      <c r="V47">
        <v>112</v>
      </c>
      <c r="W47">
        <v>0.84699999999999998</v>
      </c>
      <c r="X47">
        <v>16.100000000000001</v>
      </c>
      <c r="Y47">
        <v>3.1E-2</v>
      </c>
      <c r="Z47">
        <v>10.5</v>
      </c>
      <c r="AA47">
        <v>38.299999999999997</v>
      </c>
    </row>
    <row r="48" spans="1:27">
      <c r="A48" s="3" t="s">
        <v>79</v>
      </c>
      <c r="B48">
        <v>152.4</v>
      </c>
      <c r="C48">
        <v>152.19999999999999</v>
      </c>
      <c r="D48">
        <v>5.8</v>
      </c>
      <c r="E48">
        <v>6.8</v>
      </c>
      <c r="F48">
        <v>7.6</v>
      </c>
      <c r="G48">
        <v>123.6</v>
      </c>
      <c r="H48">
        <v>21.3</v>
      </c>
      <c r="I48">
        <v>9.65</v>
      </c>
      <c r="J48">
        <v>5</v>
      </c>
      <c r="K48">
        <v>84</v>
      </c>
      <c r="L48">
        <v>16</v>
      </c>
      <c r="M48">
        <v>0.88900000000000001</v>
      </c>
      <c r="N48">
        <v>38.700000000000003</v>
      </c>
      <c r="O48">
        <v>1250</v>
      </c>
      <c r="P48">
        <v>400</v>
      </c>
      <c r="Q48">
        <v>6.54</v>
      </c>
      <c r="R48">
        <v>3.7</v>
      </c>
      <c r="S48">
        <v>164</v>
      </c>
      <c r="T48">
        <v>52.6</v>
      </c>
      <c r="U48">
        <v>182</v>
      </c>
      <c r="V48">
        <v>80.099999999999994</v>
      </c>
      <c r="W48">
        <v>0.84199999999999997</v>
      </c>
      <c r="X48">
        <v>20.6</v>
      </c>
      <c r="Y48">
        <v>2.1000000000000001E-2</v>
      </c>
      <c r="Z48">
        <v>4.63</v>
      </c>
      <c r="AA48">
        <v>29.2</v>
      </c>
    </row>
  </sheetData>
  <sheetProtection algorithmName="SHA-512" hashValue="tqw0qer3u8aaZlsrycgbVTsR4prVnHHAuSa+dYkGHo0W7iNkCbqSBO3z/52oe5J2XWf6AsrQqNfS7h1mZAnsyg==" saltValue="5eDZNCwOOiEX4kACIwqnRw==" spinCount="100000" sheet="1" objects="1" scenarios="1"/>
  <mergeCells count="1"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8B7-D954-49DD-B6EF-C216DCB96CAF}">
  <dimension ref="B1:K23"/>
  <sheetViews>
    <sheetView workbookViewId="0">
      <selection activeCell="H22" sqref="H22"/>
    </sheetView>
  </sheetViews>
  <sheetFormatPr defaultRowHeight="15"/>
  <cols>
    <col min="1" max="2" width="20.85546875" bestFit="1" customWidth="1"/>
    <col min="3" max="3" width="14.5703125" bestFit="1" customWidth="1"/>
    <col min="4" max="4" width="13.140625" bestFit="1" customWidth="1"/>
    <col min="5" max="5" width="11.5703125" bestFit="1" customWidth="1"/>
  </cols>
  <sheetData>
    <row r="1" spans="2:11" ht="15.75" thickBot="1"/>
    <row r="2" spans="2:11">
      <c r="B2" s="7" t="s">
        <v>80</v>
      </c>
      <c r="C2" s="8" t="s">
        <v>81</v>
      </c>
      <c r="D2" s="8" t="s">
        <v>82</v>
      </c>
      <c r="E2" s="9" t="s">
        <v>83</v>
      </c>
    </row>
    <row r="3" spans="2:11" ht="15.75" thickBot="1">
      <c r="B3" s="10" t="s">
        <v>84</v>
      </c>
      <c r="C3" s="11">
        <v>1</v>
      </c>
      <c r="D3" s="11">
        <v>0.85</v>
      </c>
      <c r="E3" s="12">
        <v>0.7</v>
      </c>
    </row>
    <row r="6" spans="2:11" ht="18.75">
      <c r="B6" s="311" t="s">
        <v>127</v>
      </c>
      <c r="C6" s="311"/>
      <c r="D6" s="311"/>
      <c r="E6" s="311"/>
      <c r="F6" s="311"/>
      <c r="G6" s="311"/>
    </row>
    <row r="7" spans="2:11">
      <c r="B7" s="312" t="s">
        <v>128</v>
      </c>
      <c r="C7" s="312"/>
      <c r="D7" s="312"/>
      <c r="E7" s="312"/>
      <c r="F7" s="312" t="s">
        <v>129</v>
      </c>
      <c r="G7" s="312" t="s">
        <v>130</v>
      </c>
    </row>
    <row r="8" spans="2:11">
      <c r="B8" s="312"/>
      <c r="C8" s="312"/>
      <c r="D8" s="312"/>
      <c r="E8" s="312"/>
      <c r="F8" s="312"/>
      <c r="G8" s="312"/>
    </row>
    <row r="9" spans="2:11">
      <c r="B9" s="311">
        <v>16</v>
      </c>
      <c r="C9" s="311"/>
      <c r="D9" s="311"/>
      <c r="E9" s="311"/>
      <c r="F9" s="73">
        <v>275</v>
      </c>
      <c r="G9" s="73">
        <v>355</v>
      </c>
    </row>
    <row r="10" spans="2:11">
      <c r="B10" s="311">
        <v>16</v>
      </c>
      <c r="C10" s="311"/>
      <c r="D10" s="311">
        <v>40</v>
      </c>
      <c r="E10" s="311"/>
      <c r="F10" s="73">
        <v>265</v>
      </c>
      <c r="G10" s="73">
        <v>345</v>
      </c>
    </row>
    <row r="11" spans="2:11">
      <c r="B11" s="311">
        <v>40</v>
      </c>
      <c r="C11" s="311"/>
      <c r="D11" s="311">
        <v>63</v>
      </c>
      <c r="E11" s="311"/>
      <c r="F11" s="73">
        <v>255</v>
      </c>
      <c r="G11" s="73">
        <v>335</v>
      </c>
    </row>
    <row r="12" spans="2:11">
      <c r="I12" t="s">
        <v>131</v>
      </c>
      <c r="J12" s="74" t="s">
        <v>129</v>
      </c>
      <c r="K12" s="74" t="s">
        <v>130</v>
      </c>
    </row>
    <row r="14" spans="2:11">
      <c r="I14" t="s">
        <v>132</v>
      </c>
      <c r="J14">
        <f>'Main Page'!S11</f>
        <v>11.5</v>
      </c>
      <c r="K14">
        <f>J14</f>
        <v>11.5</v>
      </c>
    </row>
    <row r="15" spans="2:11">
      <c r="J15">
        <f>IF(J14&lt;$B$9,F9,J16)</f>
        <v>275</v>
      </c>
      <c r="K15">
        <f>IF(K14&lt;$B$9,G9,K16)</f>
        <v>355</v>
      </c>
    </row>
    <row r="16" spans="2:11">
      <c r="J16">
        <f>IF(J14&lt;$D$10,F10,J17)</f>
        <v>265</v>
      </c>
      <c r="K16">
        <f>IF(K14&lt;$D$10,G10,K17)</f>
        <v>345</v>
      </c>
    </row>
    <row r="17" spans="2:11">
      <c r="J17">
        <f>IF(J14&gt;$B$11,F11,J16)</f>
        <v>265</v>
      </c>
      <c r="K17">
        <f>IF(K14&gt;$B$11,G11,K16)</f>
        <v>345</v>
      </c>
    </row>
    <row r="21" spans="2:11">
      <c r="B21">
        <v>0.34</v>
      </c>
      <c r="C21">
        <v>2</v>
      </c>
      <c r="D21" s="80">
        <f>'Main Page'!S8/'Main Page'!S9</f>
        <v>1.0479274611398963</v>
      </c>
      <c r="F21">
        <f>IF(D21&lt;C21,B21,F22)</f>
        <v>0.34</v>
      </c>
      <c r="H21">
        <f>F21</f>
        <v>0.34</v>
      </c>
    </row>
    <row r="22" spans="2:11">
      <c r="B22">
        <v>0.49</v>
      </c>
      <c r="C22">
        <v>3.1</v>
      </c>
      <c r="F22">
        <f>IF(D21&lt;C22,B22,F23)</f>
        <v>0.49</v>
      </c>
    </row>
    <row r="23" spans="2:11">
      <c r="B23">
        <v>0.76</v>
      </c>
      <c r="C23">
        <v>3.1</v>
      </c>
      <c r="F23">
        <f>IF(D21&gt;C23,B23,F21)</f>
        <v>0.34</v>
      </c>
    </row>
  </sheetData>
  <sheetProtection algorithmName="SHA-512" hashValue="hImze6RpAMHtk6xv9IJa70p7z/L3Ie9Fx5eR2kB5/ctfU7s00fVNgUwyxExrTFE6sHp1pQ0YyYwwG8Ljypw88Q==" saltValue="g1RCvvGr4mag8L4b+cYn0Q==" spinCount="100000" sheet="1" objects="1" scenarios="1"/>
  <mergeCells count="9">
    <mergeCell ref="B11:C11"/>
    <mergeCell ref="D11:E11"/>
    <mergeCell ref="B6:G6"/>
    <mergeCell ref="B7:E8"/>
    <mergeCell ref="F7:F8"/>
    <mergeCell ref="G7:G8"/>
    <mergeCell ref="B9:E9"/>
    <mergeCell ref="B10:C10"/>
    <mergeCell ref="D10:E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7C7-F6AF-4441-9D79-B7FA76B76191}">
  <dimension ref="A1:AP46"/>
  <sheetViews>
    <sheetView zoomScaleNormal="100" workbookViewId="0">
      <selection activeCell="I17" sqref="I17"/>
    </sheetView>
  </sheetViews>
  <sheetFormatPr defaultRowHeight="15"/>
  <sheetData>
    <row r="1" spans="1:42" ht="15.75" thickBot="1">
      <c r="A1" t="s">
        <v>136</v>
      </c>
    </row>
    <row r="2" spans="1:42" ht="15.75" thickBot="1">
      <c r="A2" s="75" t="s">
        <v>138</v>
      </c>
      <c r="B2">
        <v>0</v>
      </c>
      <c r="C2">
        <v>10</v>
      </c>
      <c r="D2">
        <v>20</v>
      </c>
      <c r="E2">
        <v>30</v>
      </c>
      <c r="F2">
        <v>40</v>
      </c>
      <c r="G2">
        <v>50</v>
      </c>
      <c r="H2">
        <f t="shared" ref="H2:AK2" si="0">G2+10</f>
        <v>60</v>
      </c>
      <c r="I2">
        <f t="shared" si="0"/>
        <v>70</v>
      </c>
      <c r="J2">
        <f t="shared" si="0"/>
        <v>80</v>
      </c>
      <c r="K2">
        <f t="shared" si="0"/>
        <v>90</v>
      </c>
      <c r="L2">
        <f t="shared" si="0"/>
        <v>100</v>
      </c>
      <c r="M2">
        <f t="shared" si="0"/>
        <v>110</v>
      </c>
      <c r="N2">
        <f t="shared" si="0"/>
        <v>120</v>
      </c>
      <c r="O2">
        <f t="shared" si="0"/>
        <v>130</v>
      </c>
      <c r="P2">
        <f t="shared" si="0"/>
        <v>140</v>
      </c>
      <c r="Q2">
        <f t="shared" si="0"/>
        <v>150</v>
      </c>
      <c r="R2">
        <f t="shared" si="0"/>
        <v>160</v>
      </c>
      <c r="S2">
        <f t="shared" si="0"/>
        <v>170</v>
      </c>
      <c r="T2">
        <f t="shared" si="0"/>
        <v>180</v>
      </c>
      <c r="U2">
        <f t="shared" si="0"/>
        <v>190</v>
      </c>
      <c r="V2">
        <f t="shared" si="0"/>
        <v>200</v>
      </c>
      <c r="W2">
        <f t="shared" si="0"/>
        <v>210</v>
      </c>
      <c r="X2">
        <f t="shared" si="0"/>
        <v>220</v>
      </c>
      <c r="Y2">
        <f t="shared" si="0"/>
        <v>230</v>
      </c>
      <c r="Z2">
        <f t="shared" si="0"/>
        <v>240</v>
      </c>
      <c r="AA2">
        <f t="shared" si="0"/>
        <v>250</v>
      </c>
      <c r="AB2">
        <f t="shared" si="0"/>
        <v>260</v>
      </c>
      <c r="AC2">
        <f t="shared" si="0"/>
        <v>270</v>
      </c>
      <c r="AD2">
        <f t="shared" si="0"/>
        <v>280</v>
      </c>
      <c r="AE2">
        <f t="shared" si="0"/>
        <v>290</v>
      </c>
      <c r="AF2">
        <f t="shared" si="0"/>
        <v>300</v>
      </c>
      <c r="AG2">
        <f t="shared" si="0"/>
        <v>310</v>
      </c>
      <c r="AH2">
        <f t="shared" si="0"/>
        <v>320</v>
      </c>
      <c r="AI2">
        <f t="shared" si="0"/>
        <v>330</v>
      </c>
      <c r="AJ2">
        <f t="shared" si="0"/>
        <v>340</v>
      </c>
      <c r="AK2">
        <f t="shared" si="0"/>
        <v>350</v>
      </c>
      <c r="AP2" s="79"/>
    </row>
    <row r="3" spans="1:42" ht="15.75" thickBot="1">
      <c r="A3" s="76">
        <v>275</v>
      </c>
      <c r="B3">
        <v>275</v>
      </c>
      <c r="C3">
        <v>275</v>
      </c>
      <c r="D3">
        <v>272</v>
      </c>
      <c r="E3">
        <v>260</v>
      </c>
      <c r="F3">
        <v>248</v>
      </c>
      <c r="G3">
        <v>233</v>
      </c>
      <c r="H3">
        <v>217</v>
      </c>
      <c r="I3">
        <v>198</v>
      </c>
      <c r="J3">
        <v>178</v>
      </c>
      <c r="K3">
        <v>158</v>
      </c>
      <c r="L3">
        <v>139</v>
      </c>
      <c r="M3">
        <v>122</v>
      </c>
      <c r="N3">
        <v>107</v>
      </c>
      <c r="O3">
        <v>94</v>
      </c>
      <c r="P3">
        <v>84</v>
      </c>
      <c r="Q3">
        <v>74</v>
      </c>
      <c r="R3">
        <v>67</v>
      </c>
      <c r="S3">
        <v>60</v>
      </c>
      <c r="T3">
        <v>54</v>
      </c>
      <c r="U3">
        <v>49</v>
      </c>
      <c r="V3">
        <v>45</v>
      </c>
      <c r="W3">
        <v>41</v>
      </c>
      <c r="X3">
        <v>37</v>
      </c>
      <c r="Y3">
        <v>34</v>
      </c>
      <c r="Z3">
        <v>32</v>
      </c>
      <c r="AA3">
        <v>30</v>
      </c>
      <c r="AB3">
        <v>27</v>
      </c>
      <c r="AC3">
        <v>26</v>
      </c>
      <c r="AD3">
        <v>24</v>
      </c>
      <c r="AE3">
        <v>22</v>
      </c>
      <c r="AF3">
        <v>21</v>
      </c>
      <c r="AG3">
        <v>20</v>
      </c>
      <c r="AH3">
        <v>19</v>
      </c>
      <c r="AI3">
        <v>17</v>
      </c>
      <c r="AJ3">
        <v>16</v>
      </c>
      <c r="AK3">
        <v>16</v>
      </c>
    </row>
    <row r="4" spans="1:42" ht="15.75" thickBot="1">
      <c r="A4" s="76">
        <v>265</v>
      </c>
      <c r="B4">
        <v>265</v>
      </c>
      <c r="C4">
        <v>265</v>
      </c>
      <c r="D4">
        <v>263</v>
      </c>
      <c r="E4">
        <v>252</v>
      </c>
      <c r="F4">
        <v>240</v>
      </c>
      <c r="G4">
        <v>226</v>
      </c>
      <c r="H4">
        <v>211</v>
      </c>
      <c r="I4">
        <v>193</v>
      </c>
      <c r="J4">
        <v>174</v>
      </c>
      <c r="K4">
        <v>155</v>
      </c>
      <c r="L4">
        <v>137</v>
      </c>
      <c r="M4">
        <v>121</v>
      </c>
      <c r="N4">
        <v>106</v>
      </c>
      <c r="O4">
        <v>94</v>
      </c>
      <c r="P4">
        <v>83</v>
      </c>
      <c r="Q4">
        <v>74</v>
      </c>
      <c r="R4">
        <v>66</v>
      </c>
      <c r="S4">
        <v>60</v>
      </c>
      <c r="T4">
        <v>54</v>
      </c>
      <c r="U4">
        <v>49</v>
      </c>
      <c r="V4">
        <v>44</v>
      </c>
      <c r="W4">
        <v>41</v>
      </c>
      <c r="X4">
        <v>37</v>
      </c>
      <c r="Y4">
        <v>34</v>
      </c>
      <c r="Z4">
        <v>32</v>
      </c>
      <c r="AA4">
        <v>29</v>
      </c>
      <c r="AB4">
        <v>27</v>
      </c>
      <c r="AC4">
        <v>25</v>
      </c>
      <c r="AD4">
        <v>24</v>
      </c>
      <c r="AE4">
        <v>22</v>
      </c>
      <c r="AF4">
        <v>21</v>
      </c>
      <c r="AG4">
        <v>20</v>
      </c>
      <c r="AH4">
        <v>18</v>
      </c>
      <c r="AI4">
        <v>17</v>
      </c>
      <c r="AJ4">
        <v>16</v>
      </c>
      <c r="AK4">
        <v>16</v>
      </c>
    </row>
    <row r="5" spans="1:42" ht="15.75" thickBot="1">
      <c r="A5" s="77">
        <v>255</v>
      </c>
      <c r="B5">
        <v>255</v>
      </c>
      <c r="C5">
        <v>255</v>
      </c>
      <c r="D5">
        <v>253</v>
      </c>
      <c r="E5">
        <v>243</v>
      </c>
      <c r="F5">
        <v>232</v>
      </c>
      <c r="G5">
        <v>219</v>
      </c>
      <c r="H5">
        <v>205</v>
      </c>
      <c r="I5">
        <v>188</v>
      </c>
      <c r="J5">
        <v>171</v>
      </c>
      <c r="K5">
        <v>153</v>
      </c>
      <c r="L5">
        <v>135</v>
      </c>
      <c r="M5">
        <v>119</v>
      </c>
      <c r="N5">
        <v>105</v>
      </c>
      <c r="O5">
        <v>93</v>
      </c>
      <c r="P5">
        <v>82</v>
      </c>
      <c r="Q5">
        <v>74</v>
      </c>
      <c r="R5">
        <v>66</v>
      </c>
      <c r="S5">
        <v>59</v>
      </c>
      <c r="T5">
        <v>54</v>
      </c>
      <c r="U5">
        <v>49</v>
      </c>
      <c r="V5">
        <v>44</v>
      </c>
      <c r="W5">
        <v>41</v>
      </c>
      <c r="X5">
        <v>37</v>
      </c>
      <c r="Y5">
        <v>34</v>
      </c>
      <c r="Z5">
        <v>32</v>
      </c>
      <c r="AA5">
        <v>29</v>
      </c>
      <c r="AB5">
        <v>27</v>
      </c>
      <c r="AC5">
        <v>25</v>
      </c>
      <c r="AD5">
        <v>24</v>
      </c>
      <c r="AE5">
        <v>22</v>
      </c>
      <c r="AF5">
        <v>21</v>
      </c>
      <c r="AG5">
        <v>20</v>
      </c>
      <c r="AH5">
        <v>18</v>
      </c>
      <c r="AI5">
        <v>17</v>
      </c>
      <c r="AJ5">
        <v>16</v>
      </c>
      <c r="AK5">
        <v>16</v>
      </c>
    </row>
    <row r="6" spans="1:42" ht="15.75" thickBot="1">
      <c r="A6" s="76">
        <v>355</v>
      </c>
      <c r="B6">
        <v>355</v>
      </c>
      <c r="C6">
        <v>355</v>
      </c>
      <c r="D6">
        <v>347</v>
      </c>
      <c r="E6">
        <v>330</v>
      </c>
      <c r="F6">
        <v>310</v>
      </c>
      <c r="G6">
        <v>287</v>
      </c>
      <c r="H6">
        <v>260</v>
      </c>
      <c r="I6">
        <v>231</v>
      </c>
      <c r="J6">
        <v>201</v>
      </c>
      <c r="K6">
        <v>174</v>
      </c>
      <c r="L6">
        <v>150</v>
      </c>
      <c r="M6">
        <v>130</v>
      </c>
      <c r="N6">
        <v>113</v>
      </c>
      <c r="O6">
        <v>99</v>
      </c>
      <c r="P6">
        <v>87</v>
      </c>
      <c r="Q6">
        <v>77</v>
      </c>
      <c r="R6">
        <v>68</v>
      </c>
      <c r="S6">
        <v>61</v>
      </c>
      <c r="T6">
        <v>55</v>
      </c>
      <c r="U6">
        <v>50</v>
      </c>
      <c r="V6">
        <v>46</v>
      </c>
      <c r="W6">
        <v>42</v>
      </c>
      <c r="X6">
        <v>38</v>
      </c>
      <c r="Y6">
        <v>35</v>
      </c>
      <c r="Z6">
        <v>32</v>
      </c>
      <c r="AA6">
        <v>30</v>
      </c>
      <c r="AB6">
        <v>28</v>
      </c>
      <c r="AC6">
        <v>26</v>
      </c>
      <c r="AD6">
        <v>24</v>
      </c>
      <c r="AE6">
        <v>23</v>
      </c>
      <c r="AF6">
        <v>21</v>
      </c>
      <c r="AG6">
        <v>20</v>
      </c>
      <c r="AH6">
        <v>19</v>
      </c>
      <c r="AI6">
        <v>18</v>
      </c>
      <c r="AJ6">
        <v>17</v>
      </c>
      <c r="AK6">
        <v>16</v>
      </c>
    </row>
    <row r="7" spans="1:42" ht="15.75" thickBot="1">
      <c r="A7" s="76">
        <v>345</v>
      </c>
      <c r="B7">
        <v>345</v>
      </c>
      <c r="C7">
        <v>345</v>
      </c>
      <c r="D7">
        <v>338</v>
      </c>
      <c r="E7">
        <v>321</v>
      </c>
      <c r="F7">
        <v>303</v>
      </c>
      <c r="G7">
        <v>281</v>
      </c>
      <c r="H7">
        <v>255</v>
      </c>
      <c r="I7">
        <v>227</v>
      </c>
      <c r="J7">
        <v>199</v>
      </c>
      <c r="K7">
        <v>172</v>
      </c>
      <c r="L7">
        <v>149</v>
      </c>
      <c r="M7">
        <v>129</v>
      </c>
      <c r="N7">
        <v>112</v>
      </c>
      <c r="O7">
        <v>98</v>
      </c>
      <c r="P7">
        <v>86</v>
      </c>
      <c r="Q7">
        <v>77</v>
      </c>
      <c r="R7">
        <v>68</v>
      </c>
      <c r="S7">
        <v>61</v>
      </c>
      <c r="T7">
        <v>55</v>
      </c>
      <c r="U7">
        <v>50</v>
      </c>
      <c r="V7">
        <v>45</v>
      </c>
      <c r="W7">
        <v>42</v>
      </c>
      <c r="X7">
        <v>38</v>
      </c>
      <c r="Y7">
        <v>35</v>
      </c>
      <c r="Z7">
        <v>32</v>
      </c>
      <c r="AA7">
        <v>30</v>
      </c>
      <c r="AB7">
        <v>28</v>
      </c>
      <c r="AC7">
        <v>26</v>
      </c>
      <c r="AD7">
        <v>24</v>
      </c>
      <c r="AE7">
        <v>23</v>
      </c>
      <c r="AF7">
        <v>21</v>
      </c>
      <c r="AG7">
        <v>20</v>
      </c>
      <c r="AH7">
        <v>19</v>
      </c>
      <c r="AI7">
        <v>18</v>
      </c>
      <c r="AJ7">
        <v>17</v>
      </c>
      <c r="AK7">
        <v>16</v>
      </c>
    </row>
    <row r="8" spans="1:42" ht="15.75" thickBot="1">
      <c r="A8" s="77">
        <v>335</v>
      </c>
      <c r="B8">
        <v>335</v>
      </c>
      <c r="C8">
        <v>335</v>
      </c>
      <c r="D8">
        <v>329</v>
      </c>
      <c r="E8">
        <v>313</v>
      </c>
      <c r="F8">
        <v>295</v>
      </c>
      <c r="G8">
        <v>274</v>
      </c>
      <c r="H8">
        <v>250</v>
      </c>
      <c r="I8">
        <v>224</v>
      </c>
      <c r="J8">
        <v>196</v>
      </c>
      <c r="K8">
        <v>171</v>
      </c>
      <c r="L8">
        <v>148</v>
      </c>
      <c r="M8">
        <v>128</v>
      </c>
      <c r="N8">
        <v>112</v>
      </c>
      <c r="O8">
        <v>98</v>
      </c>
      <c r="P8">
        <v>86</v>
      </c>
      <c r="Q8">
        <v>76</v>
      </c>
      <c r="R8">
        <v>68</v>
      </c>
      <c r="S8">
        <v>61</v>
      </c>
      <c r="T8">
        <v>55</v>
      </c>
      <c r="U8">
        <v>50</v>
      </c>
      <c r="V8">
        <v>45</v>
      </c>
      <c r="W8">
        <v>41</v>
      </c>
      <c r="X8">
        <v>38</v>
      </c>
      <c r="Y8">
        <v>35</v>
      </c>
      <c r="Z8">
        <v>32</v>
      </c>
      <c r="AA8">
        <v>30</v>
      </c>
      <c r="AB8">
        <v>28</v>
      </c>
      <c r="AC8">
        <v>26</v>
      </c>
      <c r="AD8">
        <v>24</v>
      </c>
      <c r="AE8">
        <v>23</v>
      </c>
      <c r="AF8">
        <v>21</v>
      </c>
      <c r="AG8">
        <v>20</v>
      </c>
      <c r="AH8">
        <v>19</v>
      </c>
      <c r="AI8">
        <v>18</v>
      </c>
      <c r="AJ8">
        <v>17</v>
      </c>
      <c r="AK8">
        <v>16</v>
      </c>
    </row>
    <row r="10" spans="1:42" ht="15.75" thickBot="1">
      <c r="A10" t="s">
        <v>137</v>
      </c>
    </row>
    <row r="11" spans="1:42" ht="15.75" thickBot="1">
      <c r="A11" s="75" t="s">
        <v>138</v>
      </c>
      <c r="B11">
        <v>0</v>
      </c>
      <c r="C11">
        <v>10</v>
      </c>
      <c r="D11">
        <v>20</v>
      </c>
      <c r="E11">
        <v>30</v>
      </c>
      <c r="F11">
        <v>40</v>
      </c>
      <c r="G11">
        <v>50</v>
      </c>
      <c r="H11">
        <f t="shared" ref="H11:AK11" si="1">G11+10</f>
        <v>60</v>
      </c>
      <c r="I11">
        <f t="shared" si="1"/>
        <v>70</v>
      </c>
      <c r="J11">
        <f t="shared" si="1"/>
        <v>80</v>
      </c>
      <c r="K11">
        <f t="shared" si="1"/>
        <v>90</v>
      </c>
      <c r="L11">
        <f t="shared" si="1"/>
        <v>100</v>
      </c>
      <c r="M11">
        <f t="shared" si="1"/>
        <v>110</v>
      </c>
      <c r="N11">
        <f t="shared" si="1"/>
        <v>120</v>
      </c>
      <c r="O11">
        <f t="shared" si="1"/>
        <v>130</v>
      </c>
      <c r="P11">
        <f t="shared" si="1"/>
        <v>140</v>
      </c>
      <c r="Q11">
        <f t="shared" si="1"/>
        <v>150</v>
      </c>
      <c r="R11">
        <f t="shared" si="1"/>
        <v>160</v>
      </c>
      <c r="S11">
        <f t="shared" si="1"/>
        <v>170</v>
      </c>
      <c r="T11">
        <f t="shared" si="1"/>
        <v>180</v>
      </c>
      <c r="U11">
        <f t="shared" si="1"/>
        <v>190</v>
      </c>
      <c r="V11">
        <f t="shared" si="1"/>
        <v>200</v>
      </c>
      <c r="W11">
        <f t="shared" si="1"/>
        <v>210</v>
      </c>
      <c r="X11">
        <f t="shared" si="1"/>
        <v>220</v>
      </c>
      <c r="Y11">
        <f t="shared" si="1"/>
        <v>230</v>
      </c>
      <c r="Z11">
        <f t="shared" si="1"/>
        <v>240</v>
      </c>
      <c r="AA11">
        <f t="shared" si="1"/>
        <v>250</v>
      </c>
      <c r="AB11">
        <f t="shared" si="1"/>
        <v>260</v>
      </c>
      <c r="AC11">
        <f t="shared" si="1"/>
        <v>270</v>
      </c>
      <c r="AD11">
        <f t="shared" si="1"/>
        <v>280</v>
      </c>
      <c r="AE11">
        <f t="shared" si="1"/>
        <v>290</v>
      </c>
      <c r="AF11">
        <f t="shared" si="1"/>
        <v>300</v>
      </c>
      <c r="AG11">
        <f t="shared" si="1"/>
        <v>310</v>
      </c>
      <c r="AH11">
        <f t="shared" si="1"/>
        <v>320</v>
      </c>
      <c r="AI11">
        <f t="shared" si="1"/>
        <v>330</v>
      </c>
      <c r="AJ11">
        <f t="shared" si="1"/>
        <v>340</v>
      </c>
      <c r="AK11">
        <f t="shared" si="1"/>
        <v>350</v>
      </c>
    </row>
    <row r="12" spans="1:42" ht="15.75" thickBot="1">
      <c r="A12" s="76">
        <v>275</v>
      </c>
      <c r="B12">
        <v>275</v>
      </c>
      <c r="C12">
        <v>275</v>
      </c>
      <c r="D12">
        <v>271</v>
      </c>
      <c r="E12">
        <v>255</v>
      </c>
      <c r="F12">
        <v>238</v>
      </c>
      <c r="G12">
        <v>220</v>
      </c>
      <c r="H12">
        <v>201</v>
      </c>
      <c r="I12">
        <v>181</v>
      </c>
      <c r="J12">
        <v>161</v>
      </c>
      <c r="K12">
        <v>143</v>
      </c>
      <c r="L12">
        <v>126</v>
      </c>
      <c r="M12">
        <v>111</v>
      </c>
      <c r="N12">
        <v>98</v>
      </c>
      <c r="O12">
        <v>87</v>
      </c>
      <c r="P12">
        <v>77</v>
      </c>
      <c r="Q12">
        <v>69</v>
      </c>
      <c r="R12">
        <v>62</v>
      </c>
      <c r="S12">
        <v>56</v>
      </c>
      <c r="T12">
        <v>51</v>
      </c>
      <c r="U12">
        <v>46</v>
      </c>
      <c r="V12">
        <v>42</v>
      </c>
      <c r="W12">
        <v>39</v>
      </c>
      <c r="X12">
        <v>36</v>
      </c>
      <c r="Y12">
        <v>33</v>
      </c>
      <c r="Z12">
        <v>30</v>
      </c>
      <c r="AA12">
        <v>28</v>
      </c>
      <c r="AB12">
        <v>26</v>
      </c>
      <c r="AC12">
        <v>24</v>
      </c>
      <c r="AD12">
        <v>23</v>
      </c>
      <c r="AE12">
        <v>21</v>
      </c>
      <c r="AF12">
        <v>20</v>
      </c>
      <c r="AG12">
        <v>19</v>
      </c>
      <c r="AH12">
        <v>18</v>
      </c>
      <c r="AI12">
        <v>17</v>
      </c>
      <c r="AJ12">
        <v>16</v>
      </c>
      <c r="AK12">
        <v>15</v>
      </c>
    </row>
    <row r="13" spans="1:42" ht="15.75" thickBot="1">
      <c r="A13" s="76">
        <v>265</v>
      </c>
      <c r="B13">
        <v>265</v>
      </c>
      <c r="C13">
        <v>265</v>
      </c>
      <c r="D13">
        <v>261</v>
      </c>
      <c r="E13">
        <v>246</v>
      </c>
      <c r="F13">
        <v>230</v>
      </c>
      <c r="G13">
        <v>214</v>
      </c>
      <c r="H13">
        <v>196</v>
      </c>
      <c r="I13">
        <v>177</v>
      </c>
      <c r="J13">
        <v>158</v>
      </c>
      <c r="K13">
        <v>140</v>
      </c>
      <c r="L13">
        <v>124</v>
      </c>
      <c r="M13">
        <v>110</v>
      </c>
      <c r="N13">
        <v>97</v>
      </c>
      <c r="O13">
        <v>86</v>
      </c>
      <c r="P13">
        <v>77</v>
      </c>
      <c r="Q13">
        <v>69</v>
      </c>
      <c r="R13">
        <v>62</v>
      </c>
      <c r="S13">
        <v>56</v>
      </c>
      <c r="T13">
        <v>50</v>
      </c>
      <c r="U13">
        <v>46</v>
      </c>
      <c r="V13">
        <v>42</v>
      </c>
      <c r="W13">
        <v>38</v>
      </c>
      <c r="X13">
        <v>35</v>
      </c>
      <c r="Y13">
        <v>33</v>
      </c>
      <c r="Z13">
        <v>30</v>
      </c>
      <c r="AA13">
        <v>28</v>
      </c>
      <c r="AB13">
        <v>26</v>
      </c>
      <c r="AC13">
        <v>24</v>
      </c>
      <c r="AD13">
        <v>23</v>
      </c>
      <c r="AE13">
        <v>21</v>
      </c>
      <c r="AF13">
        <v>20</v>
      </c>
      <c r="AG13">
        <v>19</v>
      </c>
      <c r="AH13">
        <v>18</v>
      </c>
      <c r="AI13">
        <v>17</v>
      </c>
      <c r="AJ13">
        <v>16</v>
      </c>
      <c r="AK13">
        <v>15</v>
      </c>
    </row>
    <row r="14" spans="1:42" ht="15.75" thickBot="1">
      <c r="A14" s="77">
        <v>255</v>
      </c>
      <c r="B14">
        <v>255</v>
      </c>
      <c r="C14">
        <v>255</v>
      </c>
      <c r="D14">
        <v>252</v>
      </c>
      <c r="E14">
        <v>238</v>
      </c>
      <c r="F14">
        <v>223</v>
      </c>
      <c r="G14">
        <v>207</v>
      </c>
      <c r="H14">
        <v>190</v>
      </c>
      <c r="I14">
        <v>173</v>
      </c>
      <c r="J14">
        <v>155</v>
      </c>
      <c r="K14">
        <v>138</v>
      </c>
      <c r="L14">
        <v>122</v>
      </c>
      <c r="M14">
        <v>108</v>
      </c>
      <c r="N14">
        <v>96</v>
      </c>
      <c r="O14">
        <v>85</v>
      </c>
      <c r="P14">
        <v>76</v>
      </c>
      <c r="Q14">
        <v>68</v>
      </c>
      <c r="R14">
        <v>61</v>
      </c>
      <c r="S14">
        <v>55</v>
      </c>
      <c r="T14">
        <v>50</v>
      </c>
      <c r="U14">
        <v>46</v>
      </c>
      <c r="V14">
        <v>42</v>
      </c>
      <c r="W14">
        <v>38</v>
      </c>
      <c r="X14">
        <v>35</v>
      </c>
      <c r="Y14">
        <v>33</v>
      </c>
      <c r="Z14">
        <v>30</v>
      </c>
      <c r="AA14">
        <v>28</v>
      </c>
      <c r="AB14">
        <v>26</v>
      </c>
      <c r="AC14">
        <v>24</v>
      </c>
      <c r="AD14">
        <v>23</v>
      </c>
      <c r="AE14">
        <v>21</v>
      </c>
      <c r="AF14">
        <v>20</v>
      </c>
      <c r="AG14">
        <v>19</v>
      </c>
      <c r="AH14">
        <v>18</v>
      </c>
      <c r="AI14">
        <v>17</v>
      </c>
      <c r="AJ14">
        <v>16</v>
      </c>
      <c r="AK14">
        <v>15</v>
      </c>
    </row>
    <row r="15" spans="1:42" ht="15.75" thickBot="1">
      <c r="A15" s="76">
        <v>355</v>
      </c>
      <c r="B15">
        <v>355</v>
      </c>
      <c r="C15">
        <v>355</v>
      </c>
      <c r="D15">
        <v>344</v>
      </c>
      <c r="E15">
        <v>320</v>
      </c>
      <c r="F15">
        <v>295</v>
      </c>
      <c r="G15">
        <v>267</v>
      </c>
      <c r="H15">
        <v>238</v>
      </c>
      <c r="I15">
        <v>209</v>
      </c>
      <c r="J15">
        <v>182</v>
      </c>
      <c r="K15">
        <v>158</v>
      </c>
      <c r="L15">
        <v>137</v>
      </c>
      <c r="M15">
        <v>119</v>
      </c>
      <c r="N15">
        <v>104</v>
      </c>
      <c r="O15">
        <v>91</v>
      </c>
      <c r="P15">
        <v>81</v>
      </c>
      <c r="Q15">
        <v>72</v>
      </c>
      <c r="R15">
        <v>64</v>
      </c>
      <c r="S15">
        <v>58</v>
      </c>
      <c r="T15">
        <v>52</v>
      </c>
      <c r="U15">
        <v>47</v>
      </c>
      <c r="V15">
        <v>43</v>
      </c>
      <c r="W15">
        <v>40</v>
      </c>
      <c r="X15">
        <v>36</v>
      </c>
      <c r="Y15">
        <v>34</v>
      </c>
      <c r="Z15">
        <v>31</v>
      </c>
      <c r="AA15">
        <v>29</v>
      </c>
      <c r="AB15">
        <v>27</v>
      </c>
      <c r="AC15">
        <v>25</v>
      </c>
      <c r="AD15">
        <v>23</v>
      </c>
      <c r="AE15">
        <v>22</v>
      </c>
      <c r="AF15">
        <v>20</v>
      </c>
      <c r="AG15">
        <v>19</v>
      </c>
      <c r="AH15">
        <v>18</v>
      </c>
      <c r="AI15">
        <v>17</v>
      </c>
      <c r="AJ15">
        <v>16</v>
      </c>
      <c r="AK15">
        <v>15</v>
      </c>
    </row>
    <row r="16" spans="1:42" ht="15.75" thickBot="1">
      <c r="A16" s="76">
        <v>345</v>
      </c>
      <c r="B16">
        <v>345</v>
      </c>
      <c r="C16">
        <v>345</v>
      </c>
      <c r="D16">
        <v>335</v>
      </c>
      <c r="E16">
        <v>312</v>
      </c>
      <c r="F16">
        <v>288</v>
      </c>
      <c r="G16">
        <v>262</v>
      </c>
      <c r="H16">
        <v>234</v>
      </c>
      <c r="I16">
        <v>206</v>
      </c>
      <c r="J16">
        <v>180</v>
      </c>
      <c r="K16">
        <v>156</v>
      </c>
      <c r="L16">
        <v>136</v>
      </c>
      <c r="M16">
        <v>118</v>
      </c>
      <c r="N16">
        <v>103</v>
      </c>
      <c r="O16">
        <v>91</v>
      </c>
      <c r="P16">
        <v>80</v>
      </c>
      <c r="Q16">
        <v>72</v>
      </c>
      <c r="R16">
        <v>64</v>
      </c>
      <c r="S16">
        <v>58</v>
      </c>
      <c r="T16">
        <v>52</v>
      </c>
      <c r="U16">
        <v>47</v>
      </c>
      <c r="V16">
        <v>43</v>
      </c>
      <c r="W16">
        <v>40</v>
      </c>
      <c r="X16">
        <v>36</v>
      </c>
      <c r="Y16">
        <v>33</v>
      </c>
      <c r="Z16">
        <v>31</v>
      </c>
      <c r="AA16">
        <v>29</v>
      </c>
      <c r="AB16">
        <v>27</v>
      </c>
      <c r="AC16">
        <v>25</v>
      </c>
      <c r="AD16">
        <v>23</v>
      </c>
      <c r="AE16">
        <v>22</v>
      </c>
      <c r="AF16">
        <v>20</v>
      </c>
      <c r="AG16">
        <v>19</v>
      </c>
      <c r="AH16">
        <v>18</v>
      </c>
      <c r="AI16">
        <v>17</v>
      </c>
      <c r="AJ16">
        <v>16</v>
      </c>
      <c r="AK16">
        <v>15</v>
      </c>
    </row>
    <row r="17" spans="1:37" ht="15.75" thickBot="1">
      <c r="A17" s="77">
        <v>335</v>
      </c>
      <c r="B17">
        <v>335</v>
      </c>
      <c r="C17">
        <v>335</v>
      </c>
      <c r="D17">
        <v>326</v>
      </c>
      <c r="E17">
        <v>304</v>
      </c>
      <c r="F17">
        <v>281</v>
      </c>
      <c r="G17">
        <v>256</v>
      </c>
      <c r="H17">
        <v>230</v>
      </c>
      <c r="I17">
        <v>203</v>
      </c>
      <c r="J17">
        <v>178</v>
      </c>
      <c r="K17">
        <v>155</v>
      </c>
      <c r="L17">
        <v>134</v>
      </c>
      <c r="M17">
        <v>117</v>
      </c>
      <c r="N17">
        <v>103</v>
      </c>
      <c r="O17">
        <v>90</v>
      </c>
      <c r="P17">
        <v>80</v>
      </c>
      <c r="Q17">
        <v>71</v>
      </c>
      <c r="R17">
        <v>64</v>
      </c>
      <c r="S17">
        <v>57</v>
      </c>
      <c r="T17">
        <v>52</v>
      </c>
      <c r="U17">
        <v>47</v>
      </c>
      <c r="V17">
        <v>43</v>
      </c>
      <c r="W17">
        <v>39</v>
      </c>
      <c r="X17">
        <v>36</v>
      </c>
      <c r="Y17">
        <v>33</v>
      </c>
      <c r="Z17">
        <v>31</v>
      </c>
      <c r="AA17">
        <v>29</v>
      </c>
      <c r="AB17">
        <v>27</v>
      </c>
      <c r="AC17">
        <v>25</v>
      </c>
      <c r="AD17">
        <v>23</v>
      </c>
      <c r="AE17">
        <v>22</v>
      </c>
      <c r="AF17">
        <v>20</v>
      </c>
      <c r="AG17">
        <v>18</v>
      </c>
      <c r="AH17">
        <v>17</v>
      </c>
      <c r="AI17">
        <v>16</v>
      </c>
      <c r="AJ17">
        <v>15</v>
      </c>
      <c r="AK17">
        <v>14</v>
      </c>
    </row>
    <row r="20" spans="1:37">
      <c r="D20" t="s">
        <v>143</v>
      </c>
      <c r="E20" s="81">
        <f>'Main Page'!K44</f>
        <v>55.839416058394157</v>
      </c>
      <c r="F20" s="82">
        <f>ROUND(E20,-1)</f>
        <v>60</v>
      </c>
      <c r="H20" t="str">
        <f>IF(F20&gt;E20,"Upper Boundary","Lower Boundary")</f>
        <v>Upper Boundary</v>
      </c>
      <c r="K20">
        <f>IF(F20&gt;E20,F20-10,F20+10)</f>
        <v>50</v>
      </c>
      <c r="L20" s="82">
        <f>F20</f>
        <v>60</v>
      </c>
      <c r="N20" t="s">
        <v>145</v>
      </c>
      <c r="O20" s="82">
        <f>IF(L20&gt;K20,_xlfn.FORECAST.LINEAR(E20,K21:L21,K20:L20),_xlfn.FORECAST.LINEAR(E20,K21:L21,K20:L20))</f>
        <v>223.65693430656933</v>
      </c>
    </row>
    <row r="21" spans="1:37">
      <c r="K21">
        <f>INDEX($B$26:$AK$26,MATCH(K20,$B$25:$AK$25,0))</f>
        <v>233</v>
      </c>
      <c r="L21">
        <f>INDEX($B$26:$AK$26,MATCH(L20,$B$25:$AK$25,0))</f>
        <v>217</v>
      </c>
      <c r="O21" s="82"/>
    </row>
    <row r="22" spans="1:37">
      <c r="H22">
        <f>FORECAST(E20,B26:AK26,B25:AK25)</f>
        <v>194.59231650837492</v>
      </c>
      <c r="I22">
        <f>FORECAST(E20,B31:AK31,B30:AK30)</f>
        <v>185.98358681935326</v>
      </c>
    </row>
    <row r="24" spans="1:37">
      <c r="A24" t="s">
        <v>136</v>
      </c>
    </row>
    <row r="25" spans="1:37">
      <c r="B25">
        <v>0</v>
      </c>
      <c r="C25">
        <v>10</v>
      </c>
      <c r="D25">
        <f>C25+10</f>
        <v>20</v>
      </c>
      <c r="E25">
        <f t="shared" ref="E25:AK25" si="2">D25+10</f>
        <v>30</v>
      </c>
      <c r="F25">
        <f t="shared" si="2"/>
        <v>40</v>
      </c>
      <c r="G25">
        <f t="shared" si="2"/>
        <v>50</v>
      </c>
      <c r="H25">
        <f t="shared" si="2"/>
        <v>60</v>
      </c>
      <c r="I25">
        <f t="shared" si="2"/>
        <v>70</v>
      </c>
      <c r="J25">
        <f t="shared" si="2"/>
        <v>80</v>
      </c>
      <c r="K25">
        <f t="shared" si="2"/>
        <v>90</v>
      </c>
      <c r="L25">
        <f t="shared" si="2"/>
        <v>100</v>
      </c>
      <c r="M25">
        <f t="shared" si="2"/>
        <v>110</v>
      </c>
      <c r="N25">
        <f t="shared" si="2"/>
        <v>120</v>
      </c>
      <c r="O25">
        <f t="shared" si="2"/>
        <v>130</v>
      </c>
      <c r="P25">
        <f t="shared" si="2"/>
        <v>140</v>
      </c>
      <c r="Q25">
        <f t="shared" si="2"/>
        <v>150</v>
      </c>
      <c r="R25">
        <f t="shared" si="2"/>
        <v>160</v>
      </c>
      <c r="S25">
        <f t="shared" si="2"/>
        <v>170</v>
      </c>
      <c r="T25">
        <f t="shared" si="2"/>
        <v>180</v>
      </c>
      <c r="U25">
        <f t="shared" si="2"/>
        <v>190</v>
      </c>
      <c r="V25">
        <f t="shared" si="2"/>
        <v>200</v>
      </c>
      <c r="W25">
        <f t="shared" si="2"/>
        <v>210</v>
      </c>
      <c r="X25">
        <f t="shared" si="2"/>
        <v>220</v>
      </c>
      <c r="Y25">
        <f t="shared" si="2"/>
        <v>230</v>
      </c>
      <c r="Z25">
        <f t="shared" si="2"/>
        <v>240</v>
      </c>
      <c r="AA25">
        <f t="shared" si="2"/>
        <v>250</v>
      </c>
      <c r="AB25">
        <f t="shared" si="2"/>
        <v>260</v>
      </c>
      <c r="AC25">
        <f t="shared" si="2"/>
        <v>270</v>
      </c>
      <c r="AD25">
        <f t="shared" si="2"/>
        <v>280</v>
      </c>
      <c r="AE25">
        <f t="shared" si="2"/>
        <v>290</v>
      </c>
      <c r="AF25">
        <f t="shared" si="2"/>
        <v>300</v>
      </c>
      <c r="AG25">
        <f t="shared" si="2"/>
        <v>310</v>
      </c>
      <c r="AH25">
        <f t="shared" si="2"/>
        <v>320</v>
      </c>
      <c r="AI25">
        <f t="shared" si="2"/>
        <v>330</v>
      </c>
      <c r="AJ25">
        <f t="shared" si="2"/>
        <v>340</v>
      </c>
      <c r="AK25">
        <f t="shared" si="2"/>
        <v>350</v>
      </c>
    </row>
    <row r="26" spans="1:37">
      <c r="A26" s="79">
        <f>'Main Page'!E9</f>
        <v>275</v>
      </c>
      <c r="B26">
        <f>INDEX(B3:B8,MATCH($A$26,$A$3:$A$8,0))</f>
        <v>275</v>
      </c>
      <c r="C26">
        <f t="shared" ref="C26:AK26" si="3">INDEX(C3:C8,MATCH($A$26,$A$3:$A$8,0))</f>
        <v>275</v>
      </c>
      <c r="D26">
        <f t="shared" si="3"/>
        <v>272</v>
      </c>
      <c r="E26">
        <f t="shared" si="3"/>
        <v>260</v>
      </c>
      <c r="F26">
        <f t="shared" si="3"/>
        <v>248</v>
      </c>
      <c r="G26">
        <f t="shared" si="3"/>
        <v>233</v>
      </c>
      <c r="H26">
        <f t="shared" si="3"/>
        <v>217</v>
      </c>
      <c r="I26">
        <f t="shared" si="3"/>
        <v>198</v>
      </c>
      <c r="J26">
        <f t="shared" si="3"/>
        <v>178</v>
      </c>
      <c r="K26">
        <f t="shared" si="3"/>
        <v>158</v>
      </c>
      <c r="L26">
        <f t="shared" si="3"/>
        <v>139</v>
      </c>
      <c r="M26">
        <f t="shared" si="3"/>
        <v>122</v>
      </c>
      <c r="N26">
        <f t="shared" si="3"/>
        <v>107</v>
      </c>
      <c r="O26">
        <f t="shared" si="3"/>
        <v>94</v>
      </c>
      <c r="P26">
        <f t="shared" si="3"/>
        <v>84</v>
      </c>
      <c r="Q26">
        <f t="shared" si="3"/>
        <v>74</v>
      </c>
      <c r="R26">
        <f t="shared" si="3"/>
        <v>67</v>
      </c>
      <c r="S26">
        <f t="shared" si="3"/>
        <v>60</v>
      </c>
      <c r="T26">
        <f t="shared" si="3"/>
        <v>54</v>
      </c>
      <c r="U26">
        <f t="shared" si="3"/>
        <v>49</v>
      </c>
      <c r="V26">
        <f t="shared" si="3"/>
        <v>45</v>
      </c>
      <c r="W26">
        <f t="shared" si="3"/>
        <v>41</v>
      </c>
      <c r="X26">
        <f t="shared" si="3"/>
        <v>37</v>
      </c>
      <c r="Y26">
        <f t="shared" si="3"/>
        <v>34</v>
      </c>
      <c r="Z26">
        <f t="shared" si="3"/>
        <v>32</v>
      </c>
      <c r="AA26">
        <f t="shared" si="3"/>
        <v>30</v>
      </c>
      <c r="AB26">
        <f t="shared" si="3"/>
        <v>27</v>
      </c>
      <c r="AC26">
        <f t="shared" si="3"/>
        <v>26</v>
      </c>
      <c r="AD26">
        <f t="shared" si="3"/>
        <v>24</v>
      </c>
      <c r="AE26">
        <f t="shared" si="3"/>
        <v>22</v>
      </c>
      <c r="AF26">
        <f t="shared" si="3"/>
        <v>21</v>
      </c>
      <c r="AG26">
        <f t="shared" si="3"/>
        <v>20</v>
      </c>
      <c r="AH26">
        <f t="shared" si="3"/>
        <v>19</v>
      </c>
      <c r="AI26">
        <f t="shared" si="3"/>
        <v>17</v>
      </c>
      <c r="AJ26">
        <f t="shared" si="3"/>
        <v>16</v>
      </c>
      <c r="AK26">
        <f t="shared" si="3"/>
        <v>16</v>
      </c>
    </row>
    <row r="29" spans="1:37">
      <c r="A29" t="s">
        <v>137</v>
      </c>
    </row>
    <row r="30" spans="1:37">
      <c r="B30">
        <v>0</v>
      </c>
      <c r="C30">
        <v>10</v>
      </c>
      <c r="D30">
        <f>C30+10</f>
        <v>20</v>
      </c>
      <c r="E30">
        <f t="shared" ref="E30:AK30" si="4">D30+10</f>
        <v>30</v>
      </c>
      <c r="F30">
        <f t="shared" si="4"/>
        <v>40</v>
      </c>
      <c r="G30">
        <f t="shared" si="4"/>
        <v>50</v>
      </c>
      <c r="H30">
        <f t="shared" si="4"/>
        <v>60</v>
      </c>
      <c r="I30">
        <f t="shared" si="4"/>
        <v>70</v>
      </c>
      <c r="J30">
        <f t="shared" si="4"/>
        <v>80</v>
      </c>
      <c r="K30">
        <f t="shared" si="4"/>
        <v>90</v>
      </c>
      <c r="L30">
        <f t="shared" si="4"/>
        <v>100</v>
      </c>
      <c r="M30">
        <f t="shared" si="4"/>
        <v>110</v>
      </c>
      <c r="N30">
        <f t="shared" si="4"/>
        <v>120</v>
      </c>
      <c r="O30">
        <f t="shared" si="4"/>
        <v>130</v>
      </c>
      <c r="P30">
        <f t="shared" si="4"/>
        <v>140</v>
      </c>
      <c r="Q30">
        <f t="shared" si="4"/>
        <v>150</v>
      </c>
      <c r="R30">
        <f t="shared" si="4"/>
        <v>160</v>
      </c>
      <c r="S30">
        <f t="shared" si="4"/>
        <v>170</v>
      </c>
      <c r="T30">
        <f t="shared" si="4"/>
        <v>180</v>
      </c>
      <c r="U30">
        <f t="shared" si="4"/>
        <v>190</v>
      </c>
      <c r="V30">
        <f t="shared" si="4"/>
        <v>200</v>
      </c>
      <c r="W30">
        <f t="shared" si="4"/>
        <v>210</v>
      </c>
      <c r="X30">
        <f t="shared" si="4"/>
        <v>220</v>
      </c>
      <c r="Y30">
        <f t="shared" si="4"/>
        <v>230</v>
      </c>
      <c r="Z30">
        <f t="shared" si="4"/>
        <v>240</v>
      </c>
      <c r="AA30">
        <f t="shared" si="4"/>
        <v>250</v>
      </c>
      <c r="AB30">
        <f t="shared" si="4"/>
        <v>260</v>
      </c>
      <c r="AC30">
        <f t="shared" si="4"/>
        <v>270</v>
      </c>
      <c r="AD30">
        <f t="shared" si="4"/>
        <v>280</v>
      </c>
      <c r="AE30">
        <f t="shared" si="4"/>
        <v>290</v>
      </c>
      <c r="AF30">
        <f t="shared" si="4"/>
        <v>300</v>
      </c>
      <c r="AG30">
        <f t="shared" si="4"/>
        <v>310</v>
      </c>
      <c r="AH30">
        <f t="shared" si="4"/>
        <v>320</v>
      </c>
      <c r="AI30">
        <f t="shared" si="4"/>
        <v>330</v>
      </c>
      <c r="AJ30">
        <f t="shared" si="4"/>
        <v>340</v>
      </c>
      <c r="AK30">
        <f t="shared" si="4"/>
        <v>350</v>
      </c>
    </row>
    <row r="31" spans="1:37">
      <c r="A31" s="79">
        <f>A26</f>
        <v>275</v>
      </c>
      <c r="B31">
        <f>INDEX(B12:B17,MATCH($A$31,$A$12:$A$17,0))</f>
        <v>275</v>
      </c>
      <c r="C31">
        <f t="shared" ref="C31:AK31" si="5">INDEX(C12:C17,MATCH($A$31,$A$12:$A$17,0))</f>
        <v>275</v>
      </c>
      <c r="D31">
        <f t="shared" si="5"/>
        <v>271</v>
      </c>
      <c r="E31">
        <f t="shared" si="5"/>
        <v>255</v>
      </c>
      <c r="F31">
        <f t="shared" si="5"/>
        <v>238</v>
      </c>
      <c r="G31">
        <f t="shared" si="5"/>
        <v>220</v>
      </c>
      <c r="H31">
        <f t="shared" si="5"/>
        <v>201</v>
      </c>
      <c r="I31">
        <f t="shared" si="5"/>
        <v>181</v>
      </c>
      <c r="J31">
        <f t="shared" si="5"/>
        <v>161</v>
      </c>
      <c r="K31">
        <f t="shared" si="5"/>
        <v>143</v>
      </c>
      <c r="L31">
        <f t="shared" si="5"/>
        <v>126</v>
      </c>
      <c r="M31">
        <f t="shared" si="5"/>
        <v>111</v>
      </c>
      <c r="N31">
        <f t="shared" si="5"/>
        <v>98</v>
      </c>
      <c r="O31">
        <f t="shared" si="5"/>
        <v>87</v>
      </c>
      <c r="P31">
        <f t="shared" si="5"/>
        <v>77</v>
      </c>
      <c r="Q31">
        <f t="shared" si="5"/>
        <v>69</v>
      </c>
      <c r="R31">
        <f t="shared" si="5"/>
        <v>62</v>
      </c>
      <c r="S31">
        <f t="shared" si="5"/>
        <v>56</v>
      </c>
      <c r="T31">
        <f t="shared" si="5"/>
        <v>51</v>
      </c>
      <c r="U31">
        <f t="shared" si="5"/>
        <v>46</v>
      </c>
      <c r="V31">
        <f t="shared" si="5"/>
        <v>42</v>
      </c>
      <c r="W31">
        <f t="shared" si="5"/>
        <v>39</v>
      </c>
      <c r="X31">
        <f t="shared" si="5"/>
        <v>36</v>
      </c>
      <c r="Y31">
        <f t="shared" si="5"/>
        <v>33</v>
      </c>
      <c r="Z31">
        <f t="shared" si="5"/>
        <v>30</v>
      </c>
      <c r="AA31">
        <f t="shared" si="5"/>
        <v>28</v>
      </c>
      <c r="AB31">
        <f t="shared" si="5"/>
        <v>26</v>
      </c>
      <c r="AC31">
        <f t="shared" si="5"/>
        <v>24</v>
      </c>
      <c r="AD31">
        <f t="shared" si="5"/>
        <v>23</v>
      </c>
      <c r="AE31">
        <f t="shared" si="5"/>
        <v>21</v>
      </c>
      <c r="AF31">
        <f t="shared" si="5"/>
        <v>20</v>
      </c>
      <c r="AG31">
        <f t="shared" si="5"/>
        <v>19</v>
      </c>
      <c r="AH31">
        <f t="shared" si="5"/>
        <v>18</v>
      </c>
      <c r="AI31">
        <f t="shared" si="5"/>
        <v>17</v>
      </c>
      <c r="AJ31">
        <f t="shared" si="5"/>
        <v>16</v>
      </c>
      <c r="AK31">
        <f t="shared" si="5"/>
        <v>15</v>
      </c>
    </row>
    <row r="34" spans="1:15">
      <c r="D34" t="s">
        <v>144</v>
      </c>
      <c r="E34" s="2">
        <f>'Main Page'!K49</f>
        <v>98.837209302325562</v>
      </c>
      <c r="F34" s="82">
        <f>ROUND(E34,-1)</f>
        <v>100</v>
      </c>
      <c r="K34">
        <f>IF(F34&gt;E34,F34-10,F34+10)</f>
        <v>90</v>
      </c>
      <c r="L34" s="82">
        <f>F34</f>
        <v>100</v>
      </c>
      <c r="O34" s="82">
        <f>IF(L34&gt;K34,_xlfn.FORECAST.LINEAR(E34,K35:L35,K34:L34),_xlfn.FORECAST.LINEAR(E34,K35:L35,K34:L34))</f>
        <v>127.97674418604655</v>
      </c>
    </row>
    <row r="35" spans="1:15">
      <c r="K35">
        <f>INDEX($B$31:$AK$31,MATCH(K34,$B$30:$AK$30,0))</f>
        <v>143</v>
      </c>
      <c r="L35">
        <f>INDEX($B$31:$AK$31,MATCH(L34,$B$30:$AK$30,0))</f>
        <v>126</v>
      </c>
    </row>
    <row r="42" spans="1:15" ht="15.75" thickBot="1"/>
    <row r="43" spans="1:15" ht="15.75" thickBot="1">
      <c r="E43" s="75"/>
    </row>
    <row r="45" spans="1:15" ht="15.75" thickBot="1"/>
    <row r="46" spans="1:15" ht="15.75" thickBot="1">
      <c r="A46" s="75"/>
      <c r="B46" s="76"/>
      <c r="C46" s="76"/>
      <c r="D46" s="77"/>
      <c r="E46" s="76"/>
      <c r="F46" s="76"/>
      <c r="G46" s="77"/>
    </row>
  </sheetData>
  <sheetProtection algorithmName="SHA-512" hashValue="8y79H3WYlwHrmqi7zo22zEAFwDjW+v9LY5JbTio+WnNCEP8qS6iZ0+Wf93uVLJ3kYYJaBcCD2XEBMdwMCzdZ7w==" saltValue="kOEGzd26KzSiTlZd7eYi8Q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Page</vt:lpstr>
      <vt:lpstr>UC</vt:lpstr>
      <vt:lpstr>Other tables</vt:lpstr>
      <vt:lpstr>Frd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LSY</dc:creator>
  <cp:lastModifiedBy>jf200</cp:lastModifiedBy>
  <dcterms:created xsi:type="dcterms:W3CDTF">2021-07-27T07:41:46Z</dcterms:created>
  <dcterms:modified xsi:type="dcterms:W3CDTF">2021-08-08T16:39:05Z</dcterms:modified>
</cp:coreProperties>
</file>